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laura_brugnolo_regione_emilia-romagna_it/Documents/Desktop/"/>
    </mc:Choice>
  </mc:AlternateContent>
  <xr:revisionPtr revIDLastSave="4" documentId="8_{91A70212-F845-4B41-9B52-650F33B4C39F}" xr6:coauthVersionLast="47" xr6:coauthVersionMax="47" xr10:uidLastSave="{331B75DA-631E-4060-9451-BE2223B84888}"/>
  <bookViews>
    <workbookView xWindow="-120" yWindow="-120" windowWidth="29040" windowHeight="15840" xr2:uid="{AC8B7D9B-9D6A-4ADD-BFD1-AAE9C43DD0EF}"/>
  </bookViews>
  <sheets>
    <sheet name="stazioni RFI-FER" sheetId="1" r:id="rId1"/>
  </sheet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8" i="1" l="1"/>
  <c r="H318" i="1"/>
  <c r="G318" i="1"/>
  <c r="F318" i="1"/>
  <c r="E318" i="1"/>
  <c r="D318" i="1"/>
  <c r="I317" i="1"/>
  <c r="H317" i="1"/>
  <c r="G317" i="1"/>
  <c r="F317" i="1"/>
  <c r="E317" i="1"/>
  <c r="D317" i="1"/>
  <c r="I316" i="1"/>
  <c r="H316" i="1"/>
  <c r="G316" i="1"/>
  <c r="F316" i="1"/>
  <c r="E316" i="1"/>
  <c r="D316" i="1"/>
  <c r="I315" i="1"/>
  <c r="H315" i="1"/>
  <c r="G315" i="1"/>
  <c r="F315" i="1"/>
  <c r="E315" i="1"/>
  <c r="D315" i="1"/>
  <c r="I314" i="1"/>
  <c r="H314" i="1"/>
  <c r="G314" i="1"/>
  <c r="F314" i="1"/>
  <c r="E314" i="1"/>
  <c r="D314" i="1"/>
  <c r="I313" i="1"/>
  <c r="H313" i="1"/>
  <c r="G313" i="1"/>
  <c r="F313" i="1"/>
  <c r="E313" i="1"/>
  <c r="D313" i="1"/>
  <c r="I312" i="1"/>
  <c r="H312" i="1"/>
  <c r="G312" i="1"/>
  <c r="F312" i="1"/>
  <c r="E312" i="1"/>
  <c r="D312" i="1"/>
  <c r="G311" i="1"/>
  <c r="F311" i="1"/>
  <c r="E311" i="1"/>
  <c r="D311" i="1"/>
  <c r="I310" i="1"/>
  <c r="H310" i="1"/>
  <c r="G310" i="1"/>
  <c r="F310" i="1"/>
  <c r="E310" i="1"/>
  <c r="D310" i="1"/>
  <c r="I309" i="1"/>
  <c r="H309" i="1"/>
  <c r="G309" i="1"/>
  <c r="F309" i="1"/>
  <c r="E309" i="1"/>
  <c r="D309" i="1"/>
  <c r="I308" i="1"/>
  <c r="H308" i="1"/>
  <c r="G308" i="1"/>
  <c r="F308" i="1"/>
  <c r="E308" i="1"/>
  <c r="D308" i="1"/>
  <c r="I307" i="1"/>
  <c r="H307" i="1"/>
  <c r="G307" i="1"/>
  <c r="F307" i="1"/>
  <c r="E307" i="1"/>
  <c r="D307" i="1"/>
  <c r="I306" i="1"/>
  <c r="H306" i="1"/>
  <c r="G306" i="1"/>
  <c r="F306" i="1"/>
  <c r="E306" i="1"/>
  <c r="D306" i="1"/>
  <c r="I305" i="1"/>
  <c r="H305" i="1"/>
  <c r="G305" i="1"/>
  <c r="F305" i="1"/>
  <c r="E305" i="1"/>
  <c r="D305" i="1"/>
  <c r="G304" i="1"/>
  <c r="F304" i="1"/>
  <c r="E304" i="1"/>
  <c r="D304" i="1"/>
  <c r="I303" i="1"/>
  <c r="H303" i="1"/>
  <c r="G303" i="1"/>
  <c r="F303" i="1"/>
  <c r="E303" i="1"/>
  <c r="D303" i="1"/>
  <c r="G302" i="1"/>
  <c r="F302" i="1"/>
  <c r="E302" i="1"/>
  <c r="D302" i="1"/>
  <c r="G301" i="1"/>
  <c r="F301" i="1"/>
  <c r="E301" i="1"/>
  <c r="D301" i="1"/>
  <c r="G300" i="1"/>
  <c r="F300" i="1"/>
  <c r="E300" i="1"/>
  <c r="D300" i="1"/>
  <c r="I299" i="1"/>
  <c r="H299" i="1"/>
  <c r="G299" i="1"/>
  <c r="F299" i="1"/>
  <c r="E299" i="1"/>
  <c r="D299" i="1"/>
  <c r="G298" i="1"/>
  <c r="F298" i="1"/>
  <c r="E298" i="1"/>
  <c r="D298" i="1"/>
  <c r="I297" i="1"/>
  <c r="H297" i="1"/>
  <c r="G297" i="1"/>
  <c r="F297" i="1"/>
  <c r="E297" i="1"/>
  <c r="D297" i="1"/>
  <c r="G296" i="1"/>
  <c r="F296" i="1"/>
  <c r="E296" i="1"/>
  <c r="D296" i="1"/>
  <c r="G295" i="1"/>
  <c r="F295" i="1"/>
  <c r="E295" i="1"/>
  <c r="D295" i="1"/>
  <c r="G294" i="1"/>
  <c r="F294" i="1"/>
  <c r="E294" i="1"/>
  <c r="D294" i="1"/>
  <c r="I293" i="1"/>
  <c r="H293" i="1"/>
  <c r="G293" i="1"/>
  <c r="F293" i="1"/>
  <c r="E293" i="1"/>
  <c r="D293" i="1"/>
  <c r="I292" i="1"/>
  <c r="H292" i="1"/>
  <c r="G292" i="1"/>
  <c r="F292" i="1"/>
  <c r="E292" i="1"/>
  <c r="D292" i="1"/>
  <c r="I291" i="1"/>
  <c r="H291" i="1"/>
  <c r="G291" i="1"/>
  <c r="F291" i="1"/>
  <c r="E291" i="1"/>
  <c r="D291" i="1"/>
  <c r="I290" i="1"/>
  <c r="H290" i="1"/>
  <c r="G290" i="1"/>
  <c r="F290" i="1"/>
  <c r="E290" i="1"/>
  <c r="D290" i="1"/>
  <c r="G289" i="1"/>
  <c r="F289" i="1"/>
  <c r="E289" i="1"/>
  <c r="D289" i="1"/>
  <c r="G288" i="1"/>
  <c r="F288" i="1"/>
  <c r="E288" i="1"/>
  <c r="D288" i="1"/>
  <c r="I287" i="1"/>
  <c r="H287" i="1"/>
  <c r="G287" i="1"/>
  <c r="F287" i="1"/>
  <c r="E287" i="1"/>
  <c r="D287" i="1"/>
  <c r="I286" i="1"/>
  <c r="H286" i="1"/>
  <c r="G286" i="1"/>
  <c r="F286" i="1"/>
  <c r="E286" i="1"/>
  <c r="D286" i="1"/>
  <c r="I285" i="1"/>
  <c r="H285" i="1"/>
  <c r="G285" i="1"/>
  <c r="F285" i="1"/>
  <c r="E285" i="1"/>
  <c r="D285" i="1"/>
  <c r="I284" i="1"/>
  <c r="H284" i="1"/>
  <c r="G284" i="1"/>
  <c r="F284" i="1"/>
  <c r="E284" i="1"/>
  <c r="D284" i="1"/>
  <c r="I283" i="1"/>
  <c r="H283" i="1"/>
  <c r="G283" i="1"/>
  <c r="F283" i="1"/>
  <c r="E283" i="1"/>
  <c r="D283" i="1"/>
  <c r="I282" i="1"/>
  <c r="H282" i="1"/>
  <c r="G282" i="1"/>
  <c r="F282" i="1"/>
  <c r="E282" i="1"/>
  <c r="D282" i="1"/>
  <c r="I281" i="1"/>
  <c r="H281" i="1"/>
  <c r="G281" i="1"/>
  <c r="F281" i="1"/>
  <c r="E281" i="1"/>
  <c r="D281" i="1"/>
  <c r="I280" i="1"/>
  <c r="H280" i="1"/>
  <c r="G280" i="1"/>
  <c r="F280" i="1"/>
  <c r="E280" i="1"/>
  <c r="D280" i="1"/>
  <c r="I278" i="1"/>
  <c r="H278" i="1"/>
  <c r="G278" i="1"/>
  <c r="F278" i="1"/>
  <c r="E278" i="1"/>
  <c r="D278" i="1"/>
  <c r="I277" i="1"/>
  <c r="H277" i="1"/>
  <c r="F277" i="1"/>
  <c r="E277" i="1"/>
  <c r="D277" i="1"/>
  <c r="I276" i="1"/>
  <c r="H276" i="1"/>
  <c r="G276" i="1"/>
  <c r="F276" i="1"/>
  <c r="E276" i="1"/>
  <c r="D276" i="1"/>
  <c r="I275" i="1"/>
  <c r="H275" i="1"/>
  <c r="G275" i="1"/>
  <c r="F275" i="1"/>
  <c r="E275" i="1"/>
  <c r="D275" i="1"/>
  <c r="I274" i="1"/>
  <c r="H274" i="1"/>
  <c r="G274" i="1"/>
  <c r="F274" i="1"/>
  <c r="E274" i="1"/>
  <c r="D274" i="1"/>
  <c r="I273" i="1"/>
  <c r="H273" i="1"/>
  <c r="G273" i="1"/>
  <c r="F273" i="1"/>
  <c r="E273" i="1"/>
  <c r="D273" i="1"/>
  <c r="I272" i="1"/>
  <c r="H272" i="1"/>
  <c r="G272" i="1"/>
  <c r="F272" i="1"/>
  <c r="E272" i="1"/>
  <c r="D272" i="1"/>
  <c r="I271" i="1"/>
  <c r="H271" i="1"/>
  <c r="G271" i="1"/>
  <c r="F271" i="1"/>
  <c r="E271" i="1"/>
  <c r="D271" i="1"/>
  <c r="I270" i="1"/>
  <c r="H270" i="1"/>
  <c r="G270" i="1"/>
  <c r="F270" i="1"/>
  <c r="E270" i="1"/>
  <c r="D270" i="1"/>
  <c r="I269" i="1"/>
  <c r="H269" i="1"/>
  <c r="G269" i="1"/>
  <c r="F269" i="1"/>
  <c r="E269" i="1"/>
  <c r="D269" i="1"/>
  <c r="I268" i="1"/>
  <c r="H268" i="1"/>
  <c r="G268" i="1"/>
  <c r="F268" i="1"/>
  <c r="E268" i="1"/>
  <c r="D268" i="1"/>
  <c r="I267" i="1"/>
  <c r="H267" i="1"/>
  <c r="G267" i="1"/>
  <c r="F267" i="1"/>
  <c r="E267" i="1"/>
  <c r="D267" i="1"/>
  <c r="I266" i="1"/>
  <c r="H266" i="1"/>
  <c r="G266" i="1"/>
  <c r="F266" i="1"/>
  <c r="E266" i="1"/>
  <c r="D266" i="1"/>
  <c r="I265" i="1"/>
  <c r="H265" i="1"/>
  <c r="G265" i="1"/>
  <c r="F265" i="1"/>
  <c r="E265" i="1"/>
  <c r="D265" i="1"/>
  <c r="I264" i="1"/>
  <c r="H264" i="1"/>
  <c r="G264" i="1"/>
  <c r="F264" i="1"/>
  <c r="E264" i="1"/>
  <c r="D264" i="1"/>
  <c r="G263" i="1"/>
  <c r="F263" i="1"/>
  <c r="E263" i="1"/>
  <c r="D263" i="1"/>
  <c r="I262" i="1"/>
  <c r="H262" i="1"/>
  <c r="G262" i="1"/>
  <c r="F262" i="1"/>
  <c r="E262" i="1"/>
  <c r="D262" i="1"/>
  <c r="I261" i="1"/>
  <c r="H261" i="1"/>
  <c r="G261" i="1"/>
  <c r="F261" i="1"/>
  <c r="E261" i="1"/>
  <c r="D261" i="1"/>
  <c r="I260" i="1"/>
  <c r="H260" i="1"/>
  <c r="G260" i="1"/>
  <c r="F260" i="1"/>
  <c r="E260" i="1"/>
  <c r="D260" i="1"/>
  <c r="G259" i="1"/>
  <c r="F259" i="1"/>
  <c r="E259" i="1"/>
  <c r="D259" i="1"/>
  <c r="I258" i="1"/>
  <c r="H258" i="1"/>
  <c r="G258" i="1"/>
  <c r="F258" i="1"/>
  <c r="E258" i="1"/>
  <c r="D258" i="1"/>
  <c r="I257" i="1"/>
  <c r="H257" i="1"/>
  <c r="G257" i="1"/>
  <c r="F257" i="1"/>
  <c r="E257" i="1"/>
  <c r="D257" i="1"/>
  <c r="G256" i="1"/>
  <c r="F256" i="1"/>
  <c r="E256" i="1"/>
  <c r="D256" i="1"/>
  <c r="I254" i="1"/>
  <c r="H254" i="1"/>
  <c r="G254" i="1"/>
  <c r="F254" i="1"/>
  <c r="E254" i="1"/>
  <c r="D254" i="1"/>
  <c r="I253" i="1"/>
  <c r="H253" i="1"/>
  <c r="G253" i="1"/>
  <c r="F253" i="1"/>
  <c r="E253" i="1"/>
  <c r="D253" i="1"/>
  <c r="I252" i="1"/>
  <c r="H252" i="1"/>
  <c r="G252" i="1"/>
  <c r="F252" i="1"/>
  <c r="E252" i="1"/>
  <c r="D252" i="1"/>
  <c r="I251" i="1"/>
  <c r="H251" i="1"/>
  <c r="G251" i="1"/>
  <c r="F251" i="1"/>
  <c r="E251" i="1"/>
  <c r="D251" i="1"/>
  <c r="I250" i="1"/>
  <c r="H250" i="1"/>
  <c r="G250" i="1"/>
  <c r="F250" i="1"/>
  <c r="E250" i="1"/>
  <c r="D250" i="1"/>
  <c r="E249" i="1"/>
  <c r="D249" i="1"/>
  <c r="I248" i="1"/>
  <c r="H248" i="1"/>
  <c r="G248" i="1"/>
  <c r="F248" i="1"/>
  <c r="E248" i="1"/>
  <c r="D248" i="1"/>
  <c r="I247" i="1"/>
  <c r="H247" i="1"/>
  <c r="G247" i="1"/>
  <c r="F247" i="1"/>
  <c r="E247" i="1"/>
  <c r="D247" i="1"/>
  <c r="I246" i="1"/>
  <c r="H246" i="1"/>
  <c r="G246" i="1"/>
  <c r="F246" i="1"/>
  <c r="E246" i="1"/>
  <c r="D246" i="1"/>
  <c r="I245" i="1"/>
  <c r="H245" i="1"/>
  <c r="G245" i="1"/>
  <c r="F245" i="1"/>
  <c r="E245" i="1"/>
  <c r="D245" i="1"/>
  <c r="I244" i="1"/>
  <c r="H244" i="1"/>
  <c r="G244" i="1"/>
  <c r="F244" i="1"/>
  <c r="E244" i="1"/>
  <c r="D244" i="1"/>
  <c r="G243" i="1"/>
  <c r="F243" i="1"/>
  <c r="E243" i="1"/>
  <c r="D243" i="1"/>
  <c r="I242" i="1"/>
  <c r="H242" i="1"/>
  <c r="G242" i="1"/>
  <c r="F242" i="1"/>
  <c r="E242" i="1"/>
  <c r="D242" i="1"/>
  <c r="G241" i="1"/>
  <c r="F241" i="1"/>
  <c r="E241" i="1"/>
  <c r="D241" i="1"/>
  <c r="G240" i="1"/>
  <c r="F240" i="1"/>
  <c r="E240" i="1"/>
  <c r="D240" i="1"/>
  <c r="I239" i="1"/>
  <c r="H239" i="1"/>
  <c r="G239" i="1"/>
  <c r="F239" i="1"/>
  <c r="E239" i="1"/>
  <c r="D239" i="1"/>
  <c r="I238" i="1"/>
  <c r="H238" i="1"/>
  <c r="G238" i="1"/>
  <c r="F238" i="1"/>
  <c r="E238" i="1"/>
  <c r="D238" i="1"/>
  <c r="I237" i="1"/>
  <c r="H237" i="1"/>
  <c r="G237" i="1"/>
  <c r="F237" i="1"/>
  <c r="E237" i="1"/>
  <c r="D237" i="1"/>
  <c r="I236" i="1"/>
  <c r="H236" i="1"/>
  <c r="G236" i="1"/>
  <c r="F236" i="1"/>
  <c r="E236" i="1"/>
  <c r="D236" i="1"/>
  <c r="I235" i="1"/>
  <c r="H235" i="1"/>
  <c r="G235" i="1"/>
  <c r="F235" i="1"/>
  <c r="E235" i="1"/>
  <c r="D235" i="1"/>
  <c r="G234" i="1"/>
  <c r="F234" i="1"/>
  <c r="E234" i="1"/>
  <c r="D234" i="1"/>
  <c r="I233" i="1"/>
  <c r="H233" i="1"/>
  <c r="G233" i="1"/>
  <c r="F233" i="1"/>
  <c r="E233" i="1"/>
  <c r="D233" i="1"/>
  <c r="I232" i="1"/>
  <c r="H232" i="1"/>
  <c r="G232" i="1"/>
  <c r="F232" i="1"/>
  <c r="E232" i="1"/>
  <c r="D232" i="1"/>
  <c r="G231" i="1"/>
  <c r="F231" i="1"/>
  <c r="E231" i="1"/>
  <c r="D231" i="1"/>
  <c r="I230" i="1"/>
  <c r="H230" i="1"/>
  <c r="G230" i="1"/>
  <c r="F230" i="1"/>
  <c r="E230" i="1"/>
  <c r="D230" i="1"/>
  <c r="I229" i="1"/>
  <c r="H229" i="1"/>
  <c r="G229" i="1"/>
  <c r="F229" i="1"/>
  <c r="E229" i="1"/>
  <c r="D229" i="1"/>
  <c r="I228" i="1"/>
  <c r="H228" i="1"/>
  <c r="G228" i="1"/>
  <c r="F228" i="1"/>
  <c r="E228" i="1"/>
  <c r="D228" i="1"/>
  <c r="I227" i="1"/>
  <c r="H227" i="1"/>
  <c r="G227" i="1"/>
  <c r="F227" i="1"/>
  <c r="E227" i="1"/>
  <c r="D227" i="1"/>
  <c r="I226" i="1"/>
  <c r="H226" i="1"/>
  <c r="G226" i="1"/>
  <c r="F226" i="1"/>
  <c r="E226" i="1"/>
  <c r="D226" i="1"/>
  <c r="I225" i="1"/>
  <c r="H225" i="1"/>
  <c r="G225" i="1"/>
  <c r="F225" i="1"/>
  <c r="E225" i="1"/>
  <c r="D225" i="1"/>
  <c r="G224" i="1"/>
  <c r="F224" i="1"/>
  <c r="E224" i="1"/>
  <c r="D224" i="1"/>
  <c r="I223" i="1"/>
  <c r="H223" i="1"/>
  <c r="G223" i="1"/>
  <c r="F223" i="1"/>
  <c r="E223" i="1"/>
  <c r="D223" i="1"/>
  <c r="G222" i="1"/>
  <c r="F222" i="1"/>
  <c r="E222" i="1"/>
  <c r="D222" i="1"/>
  <c r="I221" i="1"/>
  <c r="H221" i="1"/>
  <c r="G221" i="1"/>
  <c r="F221" i="1"/>
  <c r="E221" i="1"/>
  <c r="D221" i="1"/>
  <c r="I220" i="1"/>
  <c r="H220" i="1"/>
  <c r="G220" i="1"/>
  <c r="F220" i="1"/>
  <c r="E220" i="1"/>
  <c r="D220" i="1"/>
  <c r="I219" i="1"/>
  <c r="H219" i="1"/>
  <c r="G219" i="1"/>
  <c r="F219" i="1"/>
  <c r="E219" i="1"/>
  <c r="D219" i="1"/>
  <c r="I218" i="1"/>
  <c r="H218" i="1"/>
  <c r="G218" i="1"/>
  <c r="F218" i="1"/>
  <c r="E218" i="1"/>
  <c r="D218" i="1"/>
  <c r="I217" i="1"/>
  <c r="H217" i="1"/>
  <c r="G217" i="1"/>
  <c r="F217" i="1"/>
  <c r="E217" i="1"/>
  <c r="D217" i="1"/>
  <c r="I216" i="1"/>
  <c r="H216" i="1"/>
  <c r="G216" i="1"/>
  <c r="F216" i="1"/>
  <c r="E216" i="1"/>
  <c r="D216" i="1"/>
  <c r="I215" i="1"/>
  <c r="H215" i="1"/>
  <c r="G215" i="1"/>
  <c r="F215" i="1"/>
  <c r="E215" i="1"/>
  <c r="D215" i="1"/>
  <c r="I214" i="1"/>
  <c r="H214" i="1"/>
  <c r="G214" i="1"/>
  <c r="F214" i="1"/>
  <c r="E214" i="1"/>
  <c r="D214" i="1"/>
  <c r="I213" i="1"/>
  <c r="H213" i="1"/>
  <c r="G213" i="1"/>
  <c r="F213" i="1"/>
  <c r="E213" i="1"/>
  <c r="D213" i="1"/>
  <c r="I212" i="1"/>
  <c r="H212" i="1"/>
  <c r="G212" i="1"/>
  <c r="F212" i="1"/>
  <c r="E212" i="1"/>
  <c r="D212" i="1"/>
  <c r="H211" i="1"/>
  <c r="G211" i="1"/>
  <c r="F211" i="1"/>
  <c r="E211" i="1"/>
  <c r="D211" i="1"/>
  <c r="I210" i="1"/>
  <c r="H210" i="1"/>
  <c r="G210" i="1"/>
  <c r="F210" i="1"/>
  <c r="E210" i="1"/>
  <c r="D210" i="1"/>
  <c r="G209" i="1"/>
  <c r="F209" i="1"/>
  <c r="E209" i="1"/>
  <c r="D209" i="1"/>
  <c r="I208" i="1"/>
  <c r="H208" i="1"/>
  <c r="G208" i="1"/>
  <c r="F208" i="1"/>
  <c r="E208" i="1"/>
  <c r="D208" i="1"/>
  <c r="I207" i="1"/>
  <c r="H207" i="1"/>
  <c r="G207" i="1"/>
  <c r="F207" i="1"/>
  <c r="E207" i="1"/>
  <c r="D207" i="1"/>
  <c r="I206" i="1"/>
  <c r="H206" i="1"/>
  <c r="G206" i="1"/>
  <c r="F206" i="1"/>
  <c r="E206" i="1"/>
  <c r="D206" i="1"/>
  <c r="I205" i="1"/>
  <c r="H205" i="1"/>
  <c r="G205" i="1"/>
  <c r="F205" i="1"/>
  <c r="E205" i="1"/>
  <c r="D205" i="1"/>
  <c r="G204" i="1"/>
  <c r="F204" i="1"/>
  <c r="E204" i="1"/>
  <c r="D204" i="1"/>
  <c r="I203" i="1"/>
  <c r="H203" i="1"/>
  <c r="G203" i="1"/>
  <c r="F203" i="1"/>
  <c r="E203" i="1"/>
  <c r="D203" i="1"/>
  <c r="G202" i="1"/>
  <c r="F202" i="1"/>
  <c r="E202" i="1"/>
  <c r="D202" i="1"/>
  <c r="I201" i="1"/>
  <c r="H201" i="1"/>
  <c r="G201" i="1"/>
  <c r="F201" i="1"/>
  <c r="E201" i="1"/>
  <c r="D201" i="1"/>
  <c r="I200" i="1"/>
  <c r="H200" i="1"/>
  <c r="G200" i="1"/>
  <c r="F200" i="1"/>
  <c r="E200" i="1"/>
  <c r="D200" i="1"/>
  <c r="I199" i="1"/>
  <c r="H199" i="1"/>
  <c r="G199" i="1"/>
  <c r="F199" i="1"/>
  <c r="E199" i="1"/>
  <c r="D199" i="1"/>
  <c r="I198" i="1"/>
  <c r="H198" i="1"/>
  <c r="G198" i="1"/>
  <c r="F198" i="1"/>
  <c r="E198" i="1"/>
  <c r="D198" i="1"/>
  <c r="I197" i="1"/>
  <c r="H197" i="1"/>
  <c r="G197" i="1"/>
  <c r="F197" i="1"/>
  <c r="E197" i="1"/>
  <c r="D197" i="1"/>
  <c r="I196" i="1"/>
  <c r="H196" i="1"/>
  <c r="G196" i="1"/>
  <c r="F196" i="1"/>
  <c r="E196" i="1"/>
  <c r="D196" i="1"/>
  <c r="I195" i="1"/>
  <c r="H195" i="1"/>
  <c r="G195" i="1"/>
  <c r="F195" i="1"/>
  <c r="E195" i="1"/>
  <c r="D195" i="1"/>
  <c r="G194" i="1"/>
  <c r="F194" i="1"/>
  <c r="E194" i="1"/>
  <c r="D194" i="1"/>
  <c r="G193" i="1"/>
  <c r="F193" i="1"/>
  <c r="E193" i="1"/>
  <c r="D193" i="1"/>
  <c r="I192" i="1"/>
  <c r="H192" i="1"/>
  <c r="G192" i="1"/>
  <c r="F192" i="1"/>
  <c r="E192" i="1"/>
  <c r="D192" i="1"/>
  <c r="I191" i="1"/>
  <c r="H191" i="1"/>
  <c r="G191" i="1"/>
  <c r="F191" i="1"/>
  <c r="E191" i="1"/>
  <c r="D191" i="1"/>
  <c r="I190" i="1"/>
  <c r="H190" i="1"/>
  <c r="G190" i="1"/>
  <c r="F190" i="1"/>
  <c r="E190" i="1"/>
  <c r="D190" i="1"/>
  <c r="I189" i="1"/>
  <c r="H189" i="1"/>
  <c r="G189" i="1"/>
  <c r="F189" i="1"/>
  <c r="E189" i="1"/>
  <c r="D189" i="1"/>
  <c r="I188" i="1"/>
  <c r="H188" i="1"/>
  <c r="G188" i="1"/>
  <c r="F188" i="1"/>
  <c r="E188" i="1"/>
  <c r="D188" i="1"/>
  <c r="I187" i="1"/>
  <c r="H187" i="1"/>
  <c r="G187" i="1"/>
  <c r="F187" i="1"/>
  <c r="E187" i="1"/>
  <c r="D187" i="1"/>
  <c r="I186" i="1"/>
  <c r="H186" i="1"/>
  <c r="G186" i="1"/>
  <c r="F186" i="1"/>
  <c r="E186" i="1"/>
  <c r="D186" i="1"/>
  <c r="G185" i="1"/>
  <c r="F185" i="1"/>
  <c r="E185" i="1"/>
  <c r="D185" i="1"/>
  <c r="I184" i="1"/>
  <c r="H184" i="1"/>
  <c r="G184" i="1"/>
  <c r="F184" i="1"/>
  <c r="E184" i="1"/>
  <c r="D184" i="1"/>
  <c r="I183" i="1"/>
  <c r="H183" i="1"/>
  <c r="G183" i="1"/>
  <c r="F183" i="1"/>
  <c r="E183" i="1"/>
  <c r="D183" i="1"/>
  <c r="I182" i="1"/>
  <c r="H182" i="1"/>
  <c r="G182" i="1"/>
  <c r="F182" i="1"/>
  <c r="E182" i="1"/>
  <c r="D182" i="1"/>
  <c r="I181" i="1"/>
  <c r="H181" i="1"/>
  <c r="G181" i="1"/>
  <c r="F181" i="1"/>
  <c r="E181" i="1"/>
  <c r="D181" i="1"/>
  <c r="I180" i="1"/>
  <c r="H180" i="1"/>
  <c r="G180" i="1"/>
  <c r="F180" i="1"/>
  <c r="E180" i="1"/>
  <c r="D180" i="1"/>
  <c r="I179" i="1"/>
  <c r="H179" i="1"/>
  <c r="G179" i="1"/>
  <c r="F179" i="1"/>
  <c r="E179" i="1"/>
  <c r="D179" i="1"/>
  <c r="I178" i="1"/>
  <c r="H178" i="1"/>
  <c r="G178" i="1"/>
  <c r="F178" i="1"/>
  <c r="E178" i="1"/>
  <c r="D178" i="1"/>
  <c r="I177" i="1"/>
  <c r="H177" i="1"/>
  <c r="G177" i="1"/>
  <c r="F177" i="1"/>
  <c r="E177" i="1"/>
  <c r="D177" i="1"/>
  <c r="I176" i="1"/>
  <c r="H176" i="1"/>
  <c r="G176" i="1"/>
  <c r="F176" i="1"/>
  <c r="E176" i="1"/>
  <c r="D176" i="1"/>
  <c r="I175" i="1"/>
  <c r="H175" i="1"/>
  <c r="G175" i="1"/>
  <c r="F175" i="1"/>
  <c r="E175" i="1"/>
  <c r="D175" i="1"/>
  <c r="I174" i="1"/>
  <c r="H174" i="1"/>
  <c r="G174" i="1"/>
  <c r="F174" i="1"/>
  <c r="E174" i="1"/>
  <c r="D174" i="1"/>
  <c r="I173" i="1"/>
  <c r="H173" i="1"/>
  <c r="G173" i="1"/>
  <c r="F173" i="1"/>
  <c r="E173" i="1"/>
  <c r="D173" i="1"/>
  <c r="I172" i="1"/>
  <c r="H172" i="1"/>
  <c r="G172" i="1"/>
  <c r="F172" i="1"/>
  <c r="E172" i="1"/>
  <c r="D172" i="1"/>
  <c r="I171" i="1"/>
  <c r="H171" i="1"/>
  <c r="G171" i="1"/>
  <c r="F171" i="1"/>
  <c r="E171" i="1"/>
  <c r="D171" i="1"/>
  <c r="I170" i="1"/>
  <c r="H170" i="1"/>
  <c r="G170" i="1"/>
  <c r="F170" i="1"/>
  <c r="E170" i="1"/>
  <c r="D170" i="1"/>
  <c r="I169" i="1"/>
  <c r="H169" i="1"/>
  <c r="G169" i="1"/>
  <c r="F169" i="1"/>
  <c r="E169" i="1"/>
  <c r="D169" i="1"/>
  <c r="I168" i="1"/>
  <c r="H168" i="1"/>
  <c r="G168" i="1"/>
  <c r="F168" i="1"/>
  <c r="E168" i="1"/>
  <c r="D168" i="1"/>
  <c r="I167" i="1"/>
  <c r="H167" i="1"/>
  <c r="G167" i="1"/>
  <c r="F167" i="1"/>
  <c r="E167" i="1"/>
  <c r="D167" i="1"/>
  <c r="G166" i="1"/>
  <c r="F166" i="1"/>
  <c r="E166" i="1"/>
  <c r="D166" i="1"/>
  <c r="G165" i="1"/>
  <c r="F165" i="1"/>
  <c r="E165" i="1"/>
  <c r="D165" i="1"/>
  <c r="I164" i="1"/>
  <c r="H164" i="1"/>
  <c r="G164" i="1"/>
  <c r="F164" i="1"/>
  <c r="E164" i="1"/>
  <c r="D164" i="1"/>
  <c r="I163" i="1"/>
  <c r="H163" i="1"/>
  <c r="G163" i="1"/>
  <c r="F163" i="1"/>
  <c r="E163" i="1"/>
  <c r="D163" i="1"/>
  <c r="I162" i="1"/>
  <c r="H162" i="1"/>
  <c r="G162" i="1"/>
  <c r="F162" i="1"/>
  <c r="E162" i="1"/>
  <c r="D162" i="1"/>
  <c r="G161" i="1"/>
  <c r="F161" i="1"/>
  <c r="E161" i="1"/>
  <c r="D161" i="1"/>
  <c r="G160" i="1"/>
  <c r="F160" i="1"/>
  <c r="E160" i="1"/>
  <c r="D160" i="1"/>
  <c r="I159" i="1"/>
  <c r="H159" i="1"/>
  <c r="G159" i="1"/>
  <c r="F159" i="1"/>
  <c r="E159" i="1"/>
  <c r="D159" i="1"/>
  <c r="G158" i="1"/>
  <c r="F158" i="1"/>
  <c r="E158" i="1"/>
  <c r="D158" i="1"/>
  <c r="G157" i="1"/>
  <c r="F157" i="1"/>
  <c r="E157" i="1"/>
  <c r="D157" i="1"/>
  <c r="I156" i="1"/>
  <c r="H156" i="1"/>
  <c r="G156" i="1"/>
  <c r="F156" i="1"/>
  <c r="E156" i="1"/>
  <c r="D156" i="1"/>
  <c r="I155" i="1"/>
  <c r="H155" i="1"/>
  <c r="G155" i="1"/>
  <c r="F155" i="1"/>
  <c r="E155" i="1"/>
  <c r="D155" i="1"/>
  <c r="G154" i="1"/>
  <c r="F154" i="1"/>
  <c r="E154" i="1"/>
  <c r="D154" i="1"/>
  <c r="I153" i="1"/>
  <c r="H153" i="1"/>
  <c r="G153" i="1"/>
  <c r="F153" i="1"/>
  <c r="E153" i="1"/>
  <c r="D153" i="1"/>
  <c r="I152" i="1"/>
  <c r="H152" i="1"/>
  <c r="G152" i="1"/>
  <c r="F152" i="1"/>
  <c r="E152" i="1"/>
  <c r="D152" i="1"/>
  <c r="I151" i="1"/>
  <c r="H151" i="1"/>
  <c r="G151" i="1"/>
  <c r="F151" i="1"/>
  <c r="E151" i="1"/>
  <c r="D151" i="1"/>
  <c r="I150" i="1"/>
  <c r="H150" i="1"/>
  <c r="G150" i="1"/>
  <c r="F150" i="1"/>
  <c r="E150" i="1"/>
  <c r="D150" i="1"/>
  <c r="I149" i="1"/>
  <c r="H149" i="1"/>
  <c r="G149" i="1"/>
  <c r="F149" i="1"/>
  <c r="E149" i="1"/>
  <c r="D149" i="1"/>
  <c r="I148" i="1"/>
  <c r="H148" i="1"/>
  <c r="G148" i="1"/>
  <c r="F148" i="1"/>
  <c r="E148" i="1"/>
  <c r="D148" i="1"/>
  <c r="I147" i="1"/>
  <c r="H147" i="1"/>
  <c r="G147" i="1"/>
  <c r="F147" i="1"/>
  <c r="E147" i="1"/>
  <c r="D147" i="1"/>
  <c r="G146" i="1"/>
  <c r="F146" i="1"/>
  <c r="E146" i="1"/>
  <c r="D146" i="1"/>
  <c r="I145" i="1"/>
  <c r="H145" i="1"/>
  <c r="G145" i="1"/>
  <c r="F145" i="1"/>
  <c r="E145" i="1"/>
  <c r="D145" i="1"/>
  <c r="I144" i="1"/>
  <c r="H144" i="1"/>
  <c r="G144" i="1"/>
  <c r="F144" i="1"/>
  <c r="E144" i="1"/>
  <c r="D144" i="1"/>
  <c r="G143" i="1"/>
  <c r="F143" i="1"/>
  <c r="E143" i="1"/>
  <c r="D143" i="1"/>
  <c r="I142" i="1"/>
  <c r="H142" i="1"/>
  <c r="G142" i="1"/>
  <c r="F142" i="1"/>
  <c r="E142" i="1"/>
  <c r="D142" i="1"/>
  <c r="G141" i="1"/>
  <c r="F141" i="1"/>
  <c r="E141" i="1"/>
  <c r="D141" i="1"/>
  <c r="I140" i="1"/>
  <c r="H140" i="1"/>
  <c r="G140" i="1"/>
  <c r="F140" i="1"/>
  <c r="E140" i="1"/>
  <c r="D140" i="1"/>
  <c r="I139" i="1"/>
  <c r="H139" i="1"/>
  <c r="G139" i="1"/>
  <c r="F139" i="1"/>
  <c r="E139" i="1"/>
  <c r="D139" i="1"/>
  <c r="I138" i="1"/>
  <c r="H138" i="1"/>
  <c r="G138" i="1"/>
  <c r="F138" i="1"/>
  <c r="E138" i="1"/>
  <c r="D138" i="1"/>
  <c r="I137" i="1"/>
  <c r="H137" i="1"/>
  <c r="G137" i="1"/>
  <c r="F137" i="1"/>
  <c r="E137" i="1"/>
  <c r="D137" i="1"/>
  <c r="I136" i="1"/>
  <c r="H136" i="1"/>
  <c r="G136" i="1"/>
  <c r="F136" i="1"/>
  <c r="E136" i="1"/>
  <c r="D136" i="1"/>
  <c r="I135" i="1"/>
  <c r="H135" i="1"/>
  <c r="G135" i="1"/>
  <c r="F135" i="1"/>
  <c r="E135" i="1"/>
  <c r="D135" i="1"/>
  <c r="I134" i="1"/>
  <c r="H134" i="1"/>
  <c r="G134" i="1"/>
  <c r="F134" i="1"/>
  <c r="E134" i="1"/>
  <c r="D134" i="1"/>
  <c r="I133" i="1"/>
  <c r="H133" i="1"/>
  <c r="G133" i="1"/>
  <c r="F133" i="1"/>
  <c r="E133" i="1"/>
  <c r="D133" i="1"/>
  <c r="I132" i="1"/>
  <c r="H132" i="1"/>
  <c r="G132" i="1"/>
  <c r="F132" i="1"/>
  <c r="E132" i="1"/>
  <c r="D132" i="1"/>
  <c r="I131" i="1"/>
  <c r="H131" i="1"/>
  <c r="G131" i="1"/>
  <c r="F131" i="1"/>
  <c r="E131" i="1"/>
  <c r="D131" i="1"/>
  <c r="I130" i="1"/>
  <c r="H130" i="1"/>
  <c r="G130" i="1"/>
  <c r="F130" i="1"/>
  <c r="E130" i="1"/>
  <c r="D130" i="1"/>
  <c r="I129" i="1"/>
  <c r="H129" i="1"/>
  <c r="G129" i="1"/>
  <c r="F129" i="1"/>
  <c r="E129" i="1"/>
  <c r="D129" i="1"/>
  <c r="I128" i="1"/>
  <c r="H128" i="1"/>
  <c r="G128" i="1"/>
  <c r="F128" i="1"/>
  <c r="E128" i="1"/>
  <c r="D128" i="1"/>
  <c r="I127" i="1"/>
  <c r="H127" i="1"/>
  <c r="G127" i="1"/>
  <c r="F127" i="1"/>
  <c r="E127" i="1"/>
  <c r="D127" i="1"/>
  <c r="I126" i="1"/>
  <c r="H126" i="1"/>
  <c r="G126" i="1"/>
  <c r="F126" i="1"/>
  <c r="E126" i="1"/>
  <c r="D126" i="1"/>
  <c r="I125" i="1"/>
  <c r="H125" i="1"/>
  <c r="G125" i="1"/>
  <c r="F125" i="1"/>
  <c r="E125" i="1"/>
  <c r="D125" i="1"/>
  <c r="I124" i="1"/>
  <c r="H124" i="1"/>
  <c r="G124" i="1"/>
  <c r="F124" i="1"/>
  <c r="E124" i="1"/>
  <c r="D124" i="1"/>
  <c r="I123" i="1"/>
  <c r="H123" i="1"/>
  <c r="G123" i="1"/>
  <c r="F123" i="1"/>
  <c r="E123" i="1"/>
  <c r="D123" i="1"/>
  <c r="G122" i="1"/>
  <c r="F122" i="1"/>
  <c r="E122" i="1"/>
  <c r="D122" i="1"/>
  <c r="G121" i="1"/>
  <c r="F121" i="1"/>
  <c r="E121" i="1"/>
  <c r="D121" i="1"/>
  <c r="G120" i="1"/>
  <c r="F120" i="1"/>
  <c r="E120" i="1"/>
  <c r="D120" i="1"/>
  <c r="G119" i="1"/>
  <c r="F119" i="1"/>
  <c r="E119" i="1"/>
  <c r="D119" i="1"/>
  <c r="I118" i="1"/>
  <c r="H118" i="1"/>
  <c r="G118" i="1"/>
  <c r="F118" i="1"/>
  <c r="E118" i="1"/>
  <c r="D118" i="1"/>
  <c r="G117" i="1"/>
  <c r="F117" i="1"/>
  <c r="E117" i="1"/>
  <c r="D117" i="1"/>
  <c r="I116" i="1"/>
  <c r="H116" i="1"/>
  <c r="G116" i="1"/>
  <c r="F116" i="1"/>
  <c r="E116" i="1"/>
  <c r="D116" i="1"/>
  <c r="I115" i="1"/>
  <c r="H115" i="1"/>
  <c r="G115" i="1"/>
  <c r="F115" i="1"/>
  <c r="E115" i="1"/>
  <c r="D115" i="1"/>
  <c r="G114" i="1"/>
  <c r="F114" i="1"/>
  <c r="E114" i="1"/>
  <c r="D114" i="1"/>
  <c r="I113" i="1"/>
  <c r="H113" i="1"/>
  <c r="G113" i="1"/>
  <c r="F113" i="1"/>
  <c r="E113" i="1"/>
  <c r="D113" i="1"/>
  <c r="I112" i="1"/>
  <c r="H112" i="1"/>
  <c r="G112" i="1"/>
  <c r="F112" i="1"/>
  <c r="E112" i="1"/>
  <c r="D112" i="1"/>
  <c r="G111" i="1"/>
  <c r="F111" i="1"/>
  <c r="E111" i="1"/>
  <c r="D111" i="1"/>
  <c r="I110" i="1"/>
  <c r="H110" i="1"/>
  <c r="G110" i="1"/>
  <c r="F110" i="1"/>
  <c r="E110" i="1"/>
  <c r="D110" i="1"/>
  <c r="G109" i="1"/>
  <c r="F109" i="1"/>
  <c r="E109" i="1"/>
  <c r="D109" i="1"/>
  <c r="I108" i="1"/>
  <c r="H108" i="1"/>
  <c r="G108" i="1"/>
  <c r="F108" i="1"/>
  <c r="E108" i="1"/>
  <c r="D108" i="1"/>
  <c r="I107" i="1"/>
  <c r="H107" i="1"/>
  <c r="G107" i="1"/>
  <c r="F107" i="1"/>
  <c r="E107" i="1"/>
  <c r="D107" i="1"/>
  <c r="I106" i="1"/>
  <c r="H106" i="1"/>
  <c r="G106" i="1"/>
  <c r="F106" i="1"/>
  <c r="E106" i="1"/>
  <c r="D106" i="1"/>
  <c r="I105" i="1"/>
  <c r="H105" i="1"/>
  <c r="G105" i="1"/>
  <c r="F105" i="1"/>
  <c r="E105" i="1"/>
  <c r="D105" i="1"/>
  <c r="G104" i="1"/>
  <c r="F104" i="1"/>
  <c r="E104" i="1"/>
  <c r="D104" i="1"/>
  <c r="I103" i="1"/>
  <c r="H103" i="1"/>
  <c r="G103" i="1"/>
  <c r="F103" i="1"/>
  <c r="E103" i="1"/>
  <c r="D103" i="1"/>
  <c r="G102" i="1"/>
  <c r="F102" i="1"/>
  <c r="E102" i="1"/>
  <c r="D102" i="1"/>
  <c r="I101" i="1"/>
  <c r="H101" i="1"/>
  <c r="G101" i="1"/>
  <c r="F101" i="1"/>
  <c r="D101" i="1"/>
  <c r="G100" i="1"/>
  <c r="F100" i="1"/>
  <c r="E100" i="1"/>
  <c r="D100" i="1"/>
  <c r="G99" i="1"/>
  <c r="F99" i="1"/>
  <c r="E99" i="1"/>
  <c r="D99" i="1"/>
  <c r="I98" i="1"/>
  <c r="H98" i="1"/>
  <c r="G98" i="1"/>
  <c r="F98" i="1"/>
  <c r="E98" i="1"/>
  <c r="D98" i="1"/>
  <c r="G97" i="1"/>
  <c r="F97" i="1"/>
  <c r="E97" i="1"/>
  <c r="D97" i="1"/>
  <c r="G96" i="1"/>
  <c r="F96" i="1"/>
  <c r="E96" i="1"/>
  <c r="D96" i="1"/>
  <c r="G95" i="1"/>
  <c r="F95" i="1"/>
  <c r="E95" i="1"/>
  <c r="D95" i="1"/>
  <c r="I94" i="1"/>
  <c r="H94" i="1"/>
  <c r="G94" i="1"/>
  <c r="F94" i="1"/>
  <c r="E94" i="1"/>
  <c r="D94" i="1"/>
  <c r="I93" i="1"/>
  <c r="H93" i="1"/>
  <c r="G93" i="1"/>
  <c r="F93" i="1"/>
  <c r="E93" i="1"/>
  <c r="D93" i="1"/>
  <c r="I92" i="1"/>
  <c r="H92" i="1"/>
  <c r="G92" i="1"/>
  <c r="F92" i="1"/>
  <c r="E92" i="1"/>
  <c r="D92" i="1"/>
  <c r="I91" i="1"/>
  <c r="H91" i="1"/>
  <c r="G91" i="1"/>
  <c r="F91" i="1"/>
  <c r="E91" i="1"/>
  <c r="D91" i="1"/>
  <c r="G90" i="1"/>
  <c r="F90" i="1"/>
  <c r="E90" i="1"/>
  <c r="D90" i="1"/>
  <c r="G89" i="1"/>
  <c r="F89" i="1"/>
  <c r="E89" i="1"/>
  <c r="D89" i="1"/>
  <c r="I88" i="1"/>
  <c r="H88" i="1"/>
  <c r="G88" i="1"/>
  <c r="F88" i="1"/>
  <c r="E88" i="1"/>
  <c r="D88" i="1"/>
  <c r="I87" i="1"/>
  <c r="H87" i="1"/>
  <c r="G87" i="1"/>
  <c r="F87" i="1"/>
  <c r="E87" i="1"/>
  <c r="D87" i="1"/>
  <c r="I86" i="1"/>
  <c r="H86" i="1"/>
  <c r="G86" i="1"/>
  <c r="F86" i="1"/>
  <c r="E86" i="1"/>
  <c r="D86" i="1"/>
  <c r="I85" i="1"/>
  <c r="H85" i="1"/>
  <c r="G85" i="1"/>
  <c r="F85" i="1"/>
  <c r="E85" i="1"/>
  <c r="D85" i="1"/>
  <c r="I84" i="1"/>
  <c r="H84" i="1"/>
  <c r="G84" i="1"/>
  <c r="F84" i="1"/>
  <c r="E84" i="1"/>
  <c r="D84" i="1"/>
  <c r="G83" i="1"/>
  <c r="F83" i="1"/>
  <c r="E83" i="1"/>
  <c r="D83" i="1"/>
  <c r="I82" i="1"/>
  <c r="H82" i="1"/>
  <c r="G82" i="1"/>
  <c r="F82" i="1"/>
  <c r="E82" i="1"/>
  <c r="D82" i="1"/>
  <c r="I81" i="1"/>
  <c r="H81" i="1"/>
  <c r="G81" i="1"/>
  <c r="F81" i="1"/>
  <c r="E81" i="1"/>
  <c r="D81" i="1"/>
  <c r="I80" i="1"/>
  <c r="H80" i="1"/>
  <c r="G80" i="1"/>
  <c r="F80" i="1"/>
  <c r="E80" i="1"/>
  <c r="D80" i="1"/>
  <c r="I79" i="1"/>
  <c r="H79" i="1"/>
  <c r="G79" i="1"/>
  <c r="F79" i="1"/>
  <c r="E79" i="1"/>
  <c r="D79" i="1"/>
  <c r="I78" i="1"/>
  <c r="H78" i="1"/>
  <c r="G78" i="1"/>
  <c r="F78" i="1"/>
  <c r="E78" i="1"/>
  <c r="D78" i="1"/>
  <c r="I77" i="1"/>
  <c r="H77" i="1"/>
  <c r="G77" i="1"/>
  <c r="F77" i="1"/>
  <c r="E77" i="1"/>
  <c r="D77" i="1"/>
  <c r="I76" i="1"/>
  <c r="H76" i="1"/>
  <c r="G76" i="1"/>
  <c r="F76" i="1"/>
  <c r="E76" i="1"/>
  <c r="D76" i="1"/>
  <c r="I75" i="1"/>
  <c r="H75" i="1"/>
  <c r="G75" i="1"/>
  <c r="F75" i="1"/>
  <c r="E75" i="1"/>
  <c r="D75" i="1"/>
  <c r="I74" i="1"/>
  <c r="H74" i="1"/>
  <c r="G74" i="1"/>
  <c r="F74" i="1"/>
  <c r="E74" i="1"/>
  <c r="D74" i="1"/>
  <c r="I73" i="1"/>
  <c r="H73" i="1"/>
  <c r="G73" i="1"/>
  <c r="F73" i="1"/>
  <c r="E73" i="1"/>
  <c r="D73" i="1"/>
  <c r="I72" i="1"/>
  <c r="H72" i="1"/>
  <c r="G72" i="1"/>
  <c r="F72" i="1"/>
  <c r="E72" i="1"/>
  <c r="D72" i="1"/>
  <c r="I71" i="1"/>
  <c r="H71" i="1"/>
  <c r="G71" i="1"/>
  <c r="F71" i="1"/>
  <c r="E71" i="1"/>
  <c r="D71" i="1"/>
  <c r="I70" i="1"/>
  <c r="H70" i="1"/>
  <c r="G70" i="1"/>
  <c r="F70" i="1"/>
  <c r="E70" i="1"/>
  <c r="D70" i="1"/>
  <c r="I69" i="1"/>
  <c r="H69" i="1"/>
  <c r="G69" i="1"/>
  <c r="F69" i="1"/>
  <c r="E69" i="1"/>
  <c r="D69" i="1"/>
  <c r="I68" i="1"/>
  <c r="H68" i="1"/>
  <c r="G68" i="1"/>
  <c r="F68" i="1"/>
  <c r="E68" i="1"/>
  <c r="D68" i="1"/>
  <c r="I67" i="1"/>
  <c r="H67" i="1"/>
  <c r="G67" i="1"/>
  <c r="F67" i="1"/>
  <c r="E67" i="1"/>
  <c r="D67" i="1"/>
  <c r="I66" i="1"/>
  <c r="H66" i="1"/>
  <c r="G66" i="1"/>
  <c r="F66" i="1"/>
  <c r="E66" i="1"/>
  <c r="D66" i="1"/>
  <c r="I65" i="1"/>
  <c r="H65" i="1"/>
  <c r="G65" i="1"/>
  <c r="F65" i="1"/>
  <c r="E65" i="1"/>
  <c r="D65" i="1"/>
  <c r="I64" i="1"/>
  <c r="H64" i="1"/>
  <c r="G64" i="1"/>
  <c r="F64" i="1"/>
  <c r="E64" i="1"/>
  <c r="D64" i="1"/>
  <c r="I63" i="1"/>
  <c r="H63" i="1"/>
  <c r="G63" i="1"/>
  <c r="F63" i="1"/>
  <c r="E63" i="1"/>
  <c r="D63" i="1"/>
  <c r="I62" i="1"/>
  <c r="H62" i="1"/>
  <c r="G62" i="1"/>
  <c r="F62" i="1"/>
  <c r="E62" i="1"/>
  <c r="D62" i="1"/>
  <c r="I61" i="1"/>
  <c r="H61" i="1"/>
  <c r="G61" i="1"/>
  <c r="F61" i="1"/>
  <c r="E61" i="1"/>
  <c r="D61" i="1"/>
  <c r="I60" i="1"/>
  <c r="H60" i="1"/>
  <c r="F60" i="1"/>
  <c r="E60" i="1"/>
  <c r="D60" i="1"/>
  <c r="I59" i="1"/>
  <c r="H59" i="1"/>
  <c r="G59" i="1"/>
  <c r="F59" i="1"/>
  <c r="E59" i="1"/>
  <c r="D59" i="1"/>
  <c r="I58" i="1"/>
  <c r="H58" i="1"/>
  <c r="G58" i="1"/>
  <c r="F58" i="1"/>
  <c r="E58" i="1"/>
  <c r="D58" i="1"/>
  <c r="I57" i="1"/>
  <c r="H57" i="1"/>
  <c r="G57" i="1"/>
  <c r="F57" i="1"/>
  <c r="E57" i="1"/>
  <c r="D57" i="1"/>
  <c r="I56" i="1"/>
  <c r="H56" i="1"/>
  <c r="G56" i="1"/>
  <c r="F56" i="1"/>
  <c r="E56" i="1"/>
  <c r="D56" i="1"/>
  <c r="I55" i="1"/>
  <c r="H55" i="1"/>
  <c r="G55" i="1"/>
  <c r="F55" i="1"/>
  <c r="E55" i="1"/>
  <c r="D55" i="1"/>
  <c r="I54" i="1"/>
  <c r="H54" i="1"/>
  <c r="G54" i="1"/>
  <c r="F54" i="1"/>
  <c r="E54" i="1"/>
  <c r="D54" i="1"/>
  <c r="I53" i="1"/>
  <c r="H53" i="1"/>
  <c r="G53" i="1"/>
  <c r="F53" i="1"/>
  <c r="E53" i="1"/>
  <c r="D53" i="1"/>
  <c r="G52" i="1"/>
  <c r="F52" i="1"/>
  <c r="E52" i="1"/>
  <c r="D52" i="1"/>
  <c r="I51" i="1"/>
  <c r="H51" i="1"/>
  <c r="G51" i="1"/>
  <c r="F51" i="1"/>
  <c r="E51" i="1"/>
  <c r="D51" i="1"/>
  <c r="I50" i="1"/>
  <c r="H50" i="1"/>
  <c r="G50" i="1"/>
  <c r="F50" i="1"/>
  <c r="E50" i="1"/>
  <c r="D50" i="1"/>
  <c r="G49" i="1"/>
  <c r="F49" i="1"/>
  <c r="E49" i="1"/>
  <c r="D49" i="1"/>
  <c r="G48" i="1"/>
  <c r="F48" i="1"/>
  <c r="E48" i="1"/>
  <c r="D48" i="1"/>
  <c r="I45" i="1"/>
  <c r="H45" i="1"/>
  <c r="G45" i="1"/>
  <c r="F45" i="1"/>
  <c r="E45" i="1"/>
  <c r="D45" i="1"/>
  <c r="I44" i="1"/>
  <c r="H44" i="1"/>
  <c r="G44" i="1"/>
  <c r="F44" i="1"/>
  <c r="E44" i="1"/>
  <c r="D44" i="1"/>
  <c r="I43" i="1"/>
  <c r="H43" i="1"/>
  <c r="G43" i="1"/>
  <c r="F43" i="1"/>
  <c r="E43" i="1"/>
  <c r="D43" i="1"/>
  <c r="I42" i="1"/>
  <c r="H42" i="1"/>
  <c r="G42" i="1"/>
  <c r="F42" i="1"/>
  <c r="E42" i="1"/>
  <c r="D42" i="1"/>
  <c r="I41" i="1"/>
  <c r="H41" i="1"/>
  <c r="G41" i="1"/>
  <c r="F41" i="1"/>
  <c r="E41" i="1"/>
  <c r="D41" i="1"/>
  <c r="I40" i="1"/>
  <c r="H40" i="1"/>
  <c r="G40" i="1"/>
  <c r="F40" i="1"/>
  <c r="E40" i="1"/>
  <c r="D40" i="1"/>
  <c r="G39" i="1"/>
  <c r="F39" i="1"/>
  <c r="E39" i="1"/>
  <c r="D39" i="1"/>
  <c r="I37" i="1"/>
  <c r="H37" i="1"/>
  <c r="G37" i="1"/>
  <c r="F37" i="1"/>
  <c r="E37" i="1"/>
  <c r="D37" i="1"/>
  <c r="I35" i="1"/>
  <c r="H35" i="1"/>
  <c r="G35" i="1"/>
  <c r="F35" i="1"/>
  <c r="E35" i="1"/>
  <c r="D35" i="1"/>
  <c r="I34" i="1"/>
  <c r="H34" i="1"/>
  <c r="G34" i="1"/>
  <c r="F34" i="1"/>
  <c r="E34" i="1"/>
  <c r="D34" i="1"/>
  <c r="I33" i="1"/>
  <c r="H33" i="1"/>
  <c r="G33" i="1"/>
  <c r="F33" i="1"/>
  <c r="E33" i="1"/>
  <c r="D33" i="1"/>
  <c r="I32" i="1"/>
  <c r="H32" i="1"/>
  <c r="G32" i="1"/>
  <c r="F32" i="1"/>
  <c r="E32" i="1"/>
  <c r="D32" i="1"/>
  <c r="I30" i="1"/>
  <c r="H30" i="1"/>
  <c r="G30" i="1"/>
  <c r="F30" i="1"/>
  <c r="E30" i="1"/>
  <c r="D30" i="1"/>
  <c r="I29" i="1"/>
  <c r="H29" i="1"/>
  <c r="G29" i="1"/>
  <c r="F29" i="1"/>
  <c r="E29" i="1"/>
  <c r="D29" i="1"/>
  <c r="I28" i="1"/>
  <c r="H28" i="1"/>
  <c r="G28" i="1"/>
  <c r="F28" i="1"/>
  <c r="E28" i="1"/>
  <c r="D28" i="1"/>
  <c r="I27" i="1"/>
  <c r="H27" i="1"/>
  <c r="G27" i="1"/>
  <c r="F27" i="1"/>
  <c r="E27" i="1"/>
  <c r="D27" i="1"/>
  <c r="I26" i="1"/>
  <c r="H26" i="1"/>
  <c r="G26" i="1"/>
  <c r="F26" i="1"/>
  <c r="E26" i="1"/>
  <c r="D26" i="1"/>
  <c r="I25" i="1"/>
  <c r="H25" i="1"/>
  <c r="G25" i="1"/>
  <c r="F25" i="1"/>
  <c r="E25" i="1"/>
  <c r="D25" i="1"/>
  <c r="I24" i="1"/>
  <c r="H24" i="1"/>
  <c r="G24" i="1"/>
  <c r="F24" i="1"/>
  <c r="E24" i="1"/>
  <c r="D24" i="1"/>
  <c r="I23" i="1"/>
  <c r="H23" i="1"/>
  <c r="G23" i="1"/>
  <c r="F23" i="1"/>
  <c r="E23" i="1"/>
  <c r="D23" i="1"/>
  <c r="I22" i="1"/>
  <c r="H22" i="1"/>
  <c r="G22" i="1"/>
  <c r="F22" i="1"/>
  <c r="E22" i="1"/>
  <c r="D22" i="1"/>
  <c r="I21" i="1"/>
  <c r="H21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G17" i="1"/>
  <c r="F17" i="1"/>
  <c r="E17" i="1"/>
  <c r="D17" i="1"/>
  <c r="I16" i="1"/>
  <c r="H16" i="1"/>
  <c r="G16" i="1"/>
  <c r="F16" i="1"/>
  <c r="E16" i="1"/>
  <c r="D16" i="1"/>
  <c r="I15" i="1"/>
  <c r="H15" i="1"/>
  <c r="G15" i="1"/>
  <c r="F15" i="1"/>
  <c r="E15" i="1"/>
  <c r="D15" i="1"/>
  <c r="I14" i="1"/>
  <c r="H14" i="1"/>
  <c r="G14" i="1"/>
  <c r="F14" i="1"/>
  <c r="E14" i="1"/>
  <c r="D14" i="1"/>
  <c r="I13" i="1"/>
  <c r="H13" i="1"/>
  <c r="G13" i="1"/>
  <c r="F13" i="1"/>
  <c r="E13" i="1"/>
  <c r="D13" i="1"/>
  <c r="I12" i="1"/>
  <c r="H12" i="1"/>
  <c r="G12" i="1"/>
  <c r="F12" i="1"/>
  <c r="E12" i="1"/>
  <c r="D12" i="1"/>
  <c r="G11" i="1"/>
  <c r="F11" i="1"/>
  <c r="E11" i="1"/>
  <c r="D11" i="1"/>
  <c r="G10" i="1"/>
  <c r="F10" i="1"/>
  <c r="E10" i="1"/>
  <c r="D10" i="1"/>
  <c r="I9" i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  <c r="I6" i="1"/>
  <c r="H6" i="1"/>
  <c r="G6" i="1"/>
  <c r="F6" i="1"/>
  <c r="E6" i="1"/>
  <c r="D6" i="1"/>
  <c r="I5" i="1"/>
  <c r="H5" i="1"/>
  <c r="G5" i="1"/>
  <c r="F5" i="1"/>
  <c r="E5" i="1"/>
  <c r="D5" i="1"/>
  <c r="I4" i="1"/>
  <c r="H4" i="1"/>
  <c r="G4" i="1"/>
  <c r="F4" i="1"/>
  <c r="E4" i="1"/>
  <c r="D4" i="1"/>
  <c r="I3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<sst xmlns="http://schemas.openxmlformats.org/spreadsheetml/2006/main" count="1762" uniqueCount="452">
  <si>
    <t>FREQ.NOVEMBRE 2024</t>
  </si>
  <si>
    <t>STAZIONE</t>
  </si>
  <si>
    <t>COMUNE</t>
  </si>
  <si>
    <t xml:space="preserve">PROVINCIA </t>
  </si>
  <si>
    <t>MEDIA SALITI FERIALI</t>
  </si>
  <si>
    <t>MEDIA DISCESI FERIALI</t>
  </si>
  <si>
    <t>MEDIA SALITI SABATO</t>
  </si>
  <si>
    <t>MEDIA DISCESI SABATO</t>
  </si>
  <si>
    <t>MEDIA SALITI FESTIVI</t>
  </si>
  <si>
    <t xml:space="preserve">MEDIA DISCESI FESTIVI </t>
  </si>
  <si>
    <t xml:space="preserve">LINEE DI RIFERIMENTO </t>
  </si>
  <si>
    <t xml:space="preserve">STAZIONE </t>
  </si>
  <si>
    <t>Alfonsine</t>
  </si>
  <si>
    <t xml:space="preserve">ALFONSINE </t>
  </si>
  <si>
    <t>RA</t>
  </si>
  <si>
    <t>Ferrara Ravenna</t>
  </si>
  <si>
    <t>RFI</t>
  </si>
  <si>
    <t>Anzola dell'Emilia</t>
  </si>
  <si>
    <t>ANZOLA</t>
  </si>
  <si>
    <t>BO</t>
  </si>
  <si>
    <t>Bologna Piacenza Milano</t>
  </si>
  <si>
    <t>Argenta</t>
  </si>
  <si>
    <t>ARGENTA</t>
  </si>
  <si>
    <t>FE</t>
  </si>
  <si>
    <t>Baggiovara Ospedale</t>
  </si>
  <si>
    <t>MODENA</t>
  </si>
  <si>
    <t>MO</t>
  </si>
  <si>
    <t>Modena Sassuolo Terminal</t>
  </si>
  <si>
    <t>FER</t>
  </si>
  <si>
    <t>Bagnacavallo</t>
  </si>
  <si>
    <t>BAGNACAVALLO</t>
  </si>
  <si>
    <t>Bologna Ravenna Rimini</t>
  </si>
  <si>
    <t>Bagnolo in Piano</t>
  </si>
  <si>
    <t>BAGNOLO IN PIANO</t>
  </si>
  <si>
    <t>RE</t>
  </si>
  <si>
    <t>Reggio Emilia Guastalla</t>
  </si>
  <si>
    <t>Bagnolo Soave</t>
  </si>
  <si>
    <t>Barbiano</t>
  </si>
  <si>
    <t>COTIGNOLA</t>
  </si>
  <si>
    <t>Barco</t>
  </si>
  <si>
    <t>BIBBIANO</t>
  </si>
  <si>
    <t>n.d</t>
  </si>
  <si>
    <t>Reggio Emilia Ciano</t>
  </si>
  <si>
    <t>Bazzano</t>
  </si>
  <si>
    <t>VALSAMOGGIA</t>
  </si>
  <si>
    <t>Bologna Vignola</t>
  </si>
  <si>
    <t>Bellaria</t>
  </si>
  <si>
    <t>BELLARIA IGEA MARINA</t>
  </si>
  <si>
    <t>RN</t>
  </si>
  <si>
    <t>Berceto</t>
  </si>
  <si>
    <t>BERCETO</t>
  </si>
  <si>
    <t xml:space="preserve">PR </t>
  </si>
  <si>
    <t xml:space="preserve">Parma La Spezia </t>
  </si>
  <si>
    <t>Bertola Baggiovara</t>
  </si>
  <si>
    <t>FORMIGINE</t>
  </si>
  <si>
    <t>Biagioni Lagacci</t>
  </si>
  <si>
    <t>ALTO RENO TERME</t>
  </si>
  <si>
    <t xml:space="preserve">Porretta Pistoia </t>
  </si>
  <si>
    <t>Bibbiano</t>
  </si>
  <si>
    <t>Bibbiano Fossa</t>
  </si>
  <si>
    <t>Bibbiano via Monti</t>
  </si>
  <si>
    <t>Bivio Barco</t>
  </si>
  <si>
    <t>Bologna Borgo Panigale</t>
  </si>
  <si>
    <t>BOLOGNA</t>
  </si>
  <si>
    <t xml:space="preserve">TOTALE NODO
Pianoro Bologna Porretta
Bologna Vignola </t>
  </si>
  <si>
    <t>Pianoro Bologna Porretta</t>
  </si>
  <si>
    <t xml:space="preserve">Bologna Vignola </t>
  </si>
  <si>
    <t xml:space="preserve">Bologna Centrale </t>
  </si>
  <si>
    <t>TOTALE NODO
Bologna Prato
Pianoro Bologna Porretta
Milano Bologna Rimini Ancona
Bologna Ferrara Venezia
Bologna Poggio Rusco Verona
Bologna Vignola</t>
  </si>
  <si>
    <t>Bologna Prato</t>
  </si>
  <si>
    <t xml:space="preserve">Bologna Ferrara Venezia </t>
  </si>
  <si>
    <t>Bologna  Poggio Rusco  Verona</t>
  </si>
  <si>
    <t xml:space="preserve">Milano Bologna Rimini Ancona </t>
  </si>
  <si>
    <t>Bologna Portomaggiore</t>
  </si>
  <si>
    <t>Bologna Corticella</t>
  </si>
  <si>
    <t>Bologna Mazzini</t>
  </si>
  <si>
    <t>TOTALE NODO
Bologna Prato
Pianoro Bologna Porretta</t>
  </si>
  <si>
    <t>Bologna Rimesse</t>
  </si>
  <si>
    <t>Bologna Roveri</t>
  </si>
  <si>
    <t>Bologna S. Rita</t>
  </si>
  <si>
    <t>Bologna S.Ruffillo</t>
  </si>
  <si>
    <t>Bologna S.Vitale</t>
  </si>
  <si>
    <t>TOTALE NODO
Bologna Prato
Pianoro Bologna Porretta
Bologna Rimini Ancona</t>
  </si>
  <si>
    <r>
      <rPr>
        <sz val="11"/>
        <rFont val="Aptos Narrow"/>
        <family val="2"/>
        <scheme val="minor"/>
      </rPr>
      <t>Bologna Rimini Ancona</t>
    </r>
    <r>
      <rPr>
        <sz val="11"/>
        <color rgb="FFFF0000"/>
        <rFont val="Aptos Narrow"/>
        <family val="2"/>
        <scheme val="minor"/>
      </rPr>
      <t xml:space="preserve"> </t>
    </r>
  </si>
  <si>
    <t>Bologna Via Larga</t>
  </si>
  <si>
    <t>Bologna Zanolini</t>
  </si>
  <si>
    <t>Bondeno</t>
  </si>
  <si>
    <t>BONDENO</t>
  </si>
  <si>
    <t xml:space="preserve">Ferrara Suzzara </t>
  </si>
  <si>
    <t>Boretto</t>
  </si>
  <si>
    <t>BORETTO</t>
  </si>
  <si>
    <t>Parma Suzzara</t>
  </si>
  <si>
    <t>Borgo Val di Taro</t>
  </si>
  <si>
    <t>BORGO VAL DI TARO</t>
  </si>
  <si>
    <t xml:space="preserve">Borgonuovo </t>
  </si>
  <si>
    <t>SASSO MARCONI</t>
  </si>
  <si>
    <r>
      <t xml:space="preserve">Brescello </t>
    </r>
    <r>
      <rPr>
        <sz val="11"/>
        <rFont val="Aptos Narrow"/>
        <family val="2"/>
        <scheme val="minor"/>
      </rPr>
      <t>– Viadana</t>
    </r>
  </si>
  <si>
    <t>BRESCELLO</t>
  </si>
  <si>
    <t>Brisighella</t>
  </si>
  <si>
    <t xml:space="preserve">BRISIGHELLA </t>
  </si>
  <si>
    <t>Faenza Firenze Borgo SL</t>
  </si>
  <si>
    <t>Budrio</t>
  </si>
  <si>
    <t>BUDRIO</t>
  </si>
  <si>
    <t>Budrio Centro</t>
  </si>
  <si>
    <t>Busseto</t>
  </si>
  <si>
    <t>BUSSETO</t>
  </si>
  <si>
    <t>PR</t>
  </si>
  <si>
    <t>Fidenza Cremona</t>
  </si>
  <si>
    <t>Cà dell'Orbo</t>
  </si>
  <si>
    <t>CASTENASO</t>
  </si>
  <si>
    <t>Cadeo</t>
  </si>
  <si>
    <t>CADEO</t>
  </si>
  <si>
    <t>PC</t>
  </si>
  <si>
    <t>Calderara Bargellino</t>
  </si>
  <si>
    <t>CALDERARA DI RENO</t>
  </si>
  <si>
    <t>Camposanto</t>
  </si>
  <si>
    <t>CAMPOSANTO</t>
  </si>
  <si>
    <t xml:space="preserve">Carbona </t>
  </si>
  <si>
    <t>VERGATO</t>
  </si>
  <si>
    <t>Carpi</t>
  </si>
  <si>
    <t xml:space="preserve">CARPI </t>
  </si>
  <si>
    <t>Modena Carpi Mantova</t>
  </si>
  <si>
    <t>Casalecchio Ceretolo</t>
  </si>
  <si>
    <t>CASALECCHIO</t>
  </si>
  <si>
    <t>Casalecchio di Reno</t>
  </si>
  <si>
    <t>Casalecchio Garibaldi</t>
  </si>
  <si>
    <t>Casalecchio Palasport</t>
  </si>
  <si>
    <t>Casalgrande</t>
  </si>
  <si>
    <t>CASALGRANDE</t>
  </si>
  <si>
    <t>Reggio Emilia Sassuolo Radici</t>
  </si>
  <si>
    <t>Casinalbo</t>
  </si>
  <si>
    <t>Castel Bolognese - Riolo Terme</t>
  </si>
  <si>
    <t>CASTEL BOLOGNESE</t>
  </si>
  <si>
    <t>TOTALE NODO
Bologna Ravenna Rimini
Bologna Rimini Ancona</t>
  </si>
  <si>
    <t xml:space="preserve">Castel Maggiore </t>
  </si>
  <si>
    <t>CASTEL MAGGIORE</t>
  </si>
  <si>
    <t>Castel S.Giovanni</t>
  </si>
  <si>
    <t xml:space="preserve">CASTEL S.GIOVANNI </t>
  </si>
  <si>
    <t>Piacenza Genova</t>
  </si>
  <si>
    <t>Castel S.Pietro Terme</t>
  </si>
  <si>
    <t>CASTEL S. PIETRO TERME</t>
  </si>
  <si>
    <t>Casteldebole</t>
  </si>
  <si>
    <t>Castelfranco Emilia</t>
  </si>
  <si>
    <t>CASTELFRANCO EMILIA</t>
  </si>
  <si>
    <t>Castelguelfo</t>
  </si>
  <si>
    <t>FONTEVIVO</t>
  </si>
  <si>
    <t xml:space="preserve">Castelvetro </t>
  </si>
  <si>
    <t>CASTELVETRO P.</t>
  </si>
  <si>
    <t>Castenaso</t>
  </si>
  <si>
    <t>Castenaso  Stellina</t>
  </si>
  <si>
    <t xml:space="preserve">Castione dei Marchesi </t>
  </si>
  <si>
    <t>FIDENZA</t>
  </si>
  <si>
    <t>Cattolica - S. Giovanni - Gabicce</t>
  </si>
  <si>
    <t>CATTOLICA</t>
  </si>
  <si>
    <t>Cavriago</t>
  </si>
  <si>
    <t>CAVRIAGO</t>
  </si>
  <si>
    <t>Cavriago S. Nicolò</t>
  </si>
  <si>
    <t>Cervia Milano Marittima</t>
  </si>
  <si>
    <t>CERVIA</t>
  </si>
  <si>
    <t xml:space="preserve">Cesena </t>
  </si>
  <si>
    <t>CESENA</t>
  </si>
  <si>
    <t>FC</t>
  </si>
  <si>
    <t>Cesenatico</t>
  </si>
  <si>
    <t>CESENATICO</t>
  </si>
  <si>
    <t>Chiozza</t>
  </si>
  <si>
    <t>SCANDIANO</t>
  </si>
  <si>
    <t>Chiozzola</t>
  </si>
  <si>
    <t>PARMA</t>
  </si>
  <si>
    <t>Ciano d'Enza</t>
  </si>
  <si>
    <t>CANOSSA</t>
  </si>
  <si>
    <t>Ciano via Tedaldo da Canossa</t>
  </si>
  <si>
    <t>Classe</t>
  </si>
  <si>
    <t>RAVENNA</t>
  </si>
  <si>
    <t>Codigoro</t>
  </si>
  <si>
    <t>CODIGORO</t>
  </si>
  <si>
    <t xml:space="preserve">Ferrara Codigoro </t>
  </si>
  <si>
    <t>Codisotto</t>
  </si>
  <si>
    <t>LUZZARA</t>
  </si>
  <si>
    <t>Collecchio</t>
  </si>
  <si>
    <t>COLLECCHIO</t>
  </si>
  <si>
    <t>Cona</t>
  </si>
  <si>
    <t>FERRARA</t>
  </si>
  <si>
    <t>Consandolo</t>
  </si>
  <si>
    <t>Corniano</t>
  </si>
  <si>
    <t xml:space="preserve">Coronella </t>
  </si>
  <si>
    <t>POGGIO RENATICO</t>
  </si>
  <si>
    <t>Crespellano</t>
  </si>
  <si>
    <t>Crevalcore</t>
  </si>
  <si>
    <t>CREVALCORE</t>
  </si>
  <si>
    <t>Dinazzano</t>
  </si>
  <si>
    <t>Dogato</t>
  </si>
  <si>
    <t>OSTELLATO</t>
  </si>
  <si>
    <t>Faenza</t>
  </si>
  <si>
    <t>FAENZA</t>
  </si>
  <si>
    <t>TOTALE NODO
Bologna Ravenna Rimini
Bologna Rimini Ancona
Faenza Firenze Borgo SL</t>
  </si>
  <si>
    <t>n.d.</t>
  </si>
  <si>
    <r>
      <t>Felonica</t>
    </r>
    <r>
      <rPr>
        <b/>
        <strike/>
        <sz val="11"/>
        <color rgb="FFFF3333"/>
        <rFont val="Aptos Narrow"/>
        <family val="2"/>
        <scheme val="minor"/>
      </rPr>
      <t xml:space="preserve"> </t>
    </r>
  </si>
  <si>
    <t xml:space="preserve">SERMIDE E FELONICA </t>
  </si>
  <si>
    <t>MN</t>
  </si>
  <si>
    <t xml:space="preserve">Ferrara </t>
  </si>
  <si>
    <t>TOTALE NODO
Bologna Ferrara Venezia
Ferrara Codigoro
Ferrara Ravenna
Ferrara Suzzara</t>
  </si>
  <si>
    <t>Bologna Ferrara Venezia</t>
  </si>
  <si>
    <t>Ferrara Codigoro</t>
  </si>
  <si>
    <t>Ferrara Suzzara</t>
  </si>
  <si>
    <t>Ferrara Città del Ragazzo</t>
  </si>
  <si>
    <t>Ferrara Cona Ospedale</t>
  </si>
  <si>
    <t>Ferrara Via Boschetto</t>
  </si>
  <si>
    <t>Fidenza</t>
  </si>
  <si>
    <t>TOTALE NODO
Bologna Piacenza Milano
Fidenza Cremona
Fidenza Salsomaggiore</t>
  </si>
  <si>
    <t>Fidenza Salsomaggiore</t>
  </si>
  <si>
    <t>Fiorano</t>
  </si>
  <si>
    <t>FIORANO MODENESE</t>
  </si>
  <si>
    <t xml:space="preserve">Fiorenzuola </t>
  </si>
  <si>
    <t xml:space="preserve">FIORENZUOLA </t>
  </si>
  <si>
    <t>Fognano</t>
  </si>
  <si>
    <t>Forlì</t>
  </si>
  <si>
    <t>FORLI'</t>
  </si>
  <si>
    <t xml:space="preserve">Forlimpopoli Bertinoro </t>
  </si>
  <si>
    <t>FORLIMPOPOLI</t>
  </si>
  <si>
    <t>Formigine</t>
  </si>
  <si>
    <t>Fornovo</t>
  </si>
  <si>
    <t>FORNOVO DI TARO</t>
  </si>
  <si>
    <t>Funo Centergross</t>
  </si>
  <si>
    <t xml:space="preserve">ARGELATO </t>
  </si>
  <si>
    <t>Gaibanella</t>
  </si>
  <si>
    <t>Galliera</t>
  </si>
  <si>
    <t>GALLIERA</t>
  </si>
  <si>
    <t xml:space="preserve">Gambettola </t>
  </si>
  <si>
    <t>GAMBETTOLA</t>
  </si>
  <si>
    <t>Gatteo a Mare</t>
  </si>
  <si>
    <t>GATTEO</t>
  </si>
  <si>
    <t>Glorie</t>
  </si>
  <si>
    <t>Godo</t>
  </si>
  <si>
    <t>Granarolo Faentino</t>
  </si>
  <si>
    <t>Grizzana Morandi</t>
  </si>
  <si>
    <t>GRIZZANA</t>
  </si>
  <si>
    <t>Gualtieri</t>
  </si>
  <si>
    <t>GUALTIERI</t>
  </si>
  <si>
    <t>Guarda</t>
  </si>
  <si>
    <t>MOLINELLA</t>
  </si>
  <si>
    <t>Guastalla</t>
  </si>
  <si>
    <t>GUASTALLA</t>
  </si>
  <si>
    <t>TOTALE NODO
Parma Suzzara
Reggio Emilia Guastalla</t>
  </si>
  <si>
    <t>Igea Marina</t>
  </si>
  <si>
    <t>Imola</t>
  </si>
  <si>
    <t xml:space="preserve">IMOLA </t>
  </si>
  <si>
    <t>Lama di Reno</t>
  </si>
  <si>
    <t>MARZABOTTO</t>
  </si>
  <si>
    <t>Lavezzola</t>
  </si>
  <si>
    <t>CONSELICE</t>
  </si>
  <si>
    <t>Lentigione</t>
  </si>
  <si>
    <t>Lido di Classe Lido di Savio</t>
  </si>
  <si>
    <t>Lugo</t>
  </si>
  <si>
    <t>LUGO</t>
  </si>
  <si>
    <t>Luzzara</t>
  </si>
  <si>
    <t>Magnacavallo</t>
  </si>
  <si>
    <t>MAGNACAVALLO</t>
  </si>
  <si>
    <t>Marzabotto</t>
  </si>
  <si>
    <t>Masi Torello</t>
  </si>
  <si>
    <t>MASI TORELLO</t>
  </si>
  <si>
    <t>Massafiscaglia</t>
  </si>
  <si>
    <t>FISCAGLIA</t>
  </si>
  <si>
    <t>Medesano</t>
  </si>
  <si>
    <t xml:space="preserve">MEDESANO </t>
  </si>
  <si>
    <t>Mezzano</t>
  </si>
  <si>
    <t>Mezzolara</t>
  </si>
  <si>
    <t>Migliarino</t>
  </si>
  <si>
    <t>Migliaro</t>
  </si>
  <si>
    <t xml:space="preserve">Mirandola </t>
  </si>
  <si>
    <t>MIRANDOLA</t>
  </si>
  <si>
    <t xml:space="preserve">Misano Adriatico </t>
  </si>
  <si>
    <t>MISANO ADRIATICO</t>
  </si>
  <si>
    <t>Modena</t>
  </si>
  <si>
    <t>TOTALE NODO
Bologna  Piacenza Milano
Modena Carpi  Mantova
Modena Sassuolo Terminal</t>
  </si>
  <si>
    <t>Modena Fornaci</t>
  </si>
  <si>
    <t>Modena Piazza Manzoni</t>
  </si>
  <si>
    <t>Modena Policlinico</t>
  </si>
  <si>
    <t>Molinella</t>
  </si>
  <si>
    <t>Molino Del Pallone</t>
  </si>
  <si>
    <t>Montesanto</t>
  </si>
  <si>
    <t>VOGHIERA</t>
  </si>
  <si>
    <t>Monzuno Vado</t>
  </si>
  <si>
    <t>MONZUNO</t>
  </si>
  <si>
    <t>Muffa</t>
  </si>
  <si>
    <t>Musiano Pian di Macina</t>
  </si>
  <si>
    <t>PIANORO</t>
  </si>
  <si>
    <t>Novellara</t>
  </si>
  <si>
    <t>NOVELLARA</t>
  </si>
  <si>
    <t>Ostellato</t>
  </si>
  <si>
    <t>Osteria Nuova</t>
  </si>
  <si>
    <t>SALA BOLOGNESE</t>
  </si>
  <si>
    <t>Ostia Parmense</t>
  </si>
  <si>
    <t xml:space="preserve">Ozzano dell'Emilia </t>
  </si>
  <si>
    <t>OZZANO</t>
  </si>
  <si>
    <t>Ozzano Taro</t>
  </si>
  <si>
    <t xml:space="preserve">Parma </t>
  </si>
  <si>
    <t>TOTALE NODO
Bologna  Piacenza Milano
Parma La Spezia 
Parma Suzzara</t>
  </si>
  <si>
    <t>Pegognaga</t>
  </si>
  <si>
    <t>PREGOGNAGA</t>
  </si>
  <si>
    <t xml:space="preserve">Piacenza </t>
  </si>
  <si>
    <t>PIACENZA</t>
  </si>
  <si>
    <r>
      <rPr>
        <sz val="11"/>
        <rFont val="Aptos Narrow"/>
        <family val="2"/>
        <scheme val="minor"/>
      </rPr>
      <t>TOTALE NODO
Bologna Piacenza Milano</t>
    </r>
    <r>
      <rPr>
        <sz val="11"/>
        <color theme="1"/>
        <rFont val="Aptos Narrow"/>
        <family val="2"/>
        <scheme val="minor"/>
      </rPr>
      <t xml:space="preserve">
Piacenza Genova</t>
    </r>
  </si>
  <si>
    <t>Pian di Venola</t>
  </si>
  <si>
    <t>Pianoro</t>
  </si>
  <si>
    <t>Piazzola</t>
  </si>
  <si>
    <t>Pieve Rossa</t>
  </si>
  <si>
    <t>Pieve Saliceto</t>
  </si>
  <si>
    <t>Pilastrino</t>
  </si>
  <si>
    <t>ZOLA PREDOSA</t>
  </si>
  <si>
    <t>Pioppe di Salvaro</t>
  </si>
  <si>
    <t>Poggio Renatico</t>
  </si>
  <si>
    <t xml:space="preserve">Poggio Rusco </t>
  </si>
  <si>
    <t xml:space="preserve">POGGIO RUSCO </t>
  </si>
  <si>
    <t>TOTALE NODO
Ferrara Suzzara
Bologna Poggio Rusco Verona</t>
  </si>
  <si>
    <t>Ponte della Venturina</t>
  </si>
  <si>
    <t>Ponte Ronca</t>
  </si>
  <si>
    <t>Pontecchio Marconi</t>
  </si>
  <si>
    <t>Pontelagoscuro</t>
  </si>
  <si>
    <t xml:space="preserve">Pontenure </t>
  </si>
  <si>
    <t>PONTENURE</t>
  </si>
  <si>
    <t>Porretta Terme</t>
  </si>
  <si>
    <t>Portomaggiore</t>
  </si>
  <si>
    <t>PORTOMAGGIORE</t>
  </si>
  <si>
    <t>TOTALE NODO
Bologna Portomaggiore
Ferrara Ravenna</t>
  </si>
  <si>
    <t>Pratissolo</t>
  </si>
  <si>
    <t>Pratofontana</t>
  </si>
  <si>
    <t>REGGIO EMILIA</t>
  </si>
  <si>
    <t>Quartesana</t>
  </si>
  <si>
    <t xml:space="preserve">Quattro Ville </t>
  </si>
  <si>
    <t>Quistello</t>
  </si>
  <si>
    <t>QUISTELLO</t>
  </si>
  <si>
    <t>Rastignano</t>
  </si>
  <si>
    <t>Ravenna</t>
  </si>
  <si>
    <t>TOTALE NODO
Bologna Ravenna Rimini
Ferrara Ravenna</t>
  </si>
  <si>
    <t>Reggio all'Angelo</t>
  </si>
  <si>
    <t>Reggio Emilia</t>
  </si>
  <si>
    <t>TOTALE NODO
Bologna  Piacenza Milano
Reggio Emilia Ciano
Reggio Emilia Guastalla
Reggio Emilia Sassuolo Radici</t>
  </si>
  <si>
    <t xml:space="preserve">Reggio Emilia Sassuolo Radici </t>
  </si>
  <si>
    <t>Reggio Mediopadana</t>
  </si>
  <si>
    <t>Reggio Ospizio</t>
  </si>
  <si>
    <t>Reggio S .Croce</t>
  </si>
  <si>
    <t>Reggio S. Lazzaro</t>
  </si>
  <si>
    <t>Reggio S. Stefano</t>
  </si>
  <si>
    <t>Reggio Stadio</t>
  </si>
  <si>
    <t>Reggio Via Fanti</t>
  </si>
  <si>
    <t>Riale</t>
  </si>
  <si>
    <t>Riccione</t>
  </si>
  <si>
    <t>RICCIONE</t>
  </si>
  <si>
    <t>Rimini</t>
  </si>
  <si>
    <t>RIMINI</t>
  </si>
  <si>
    <t xml:space="preserve">TOTALE NODO 
Bologna Ravenna Rimini
Bologna Rimini Ancona </t>
  </si>
  <si>
    <t>Rimini Fiera</t>
  </si>
  <si>
    <t>Rimini Miramare</t>
  </si>
  <si>
    <t>Rimini Torre Pedrera</t>
  </si>
  <si>
    <t>Rimini Viserba</t>
  </si>
  <si>
    <t xml:space="preserve">RN </t>
  </si>
  <si>
    <t xml:space="preserve">Riola </t>
  </si>
  <si>
    <t xml:space="preserve">Rolo Novi Fabbrico </t>
  </si>
  <si>
    <t>ROLO</t>
  </si>
  <si>
    <t>Rottofreno</t>
  </si>
  <si>
    <t>ROTTOFRENO</t>
  </si>
  <si>
    <r>
      <t xml:space="preserve">Rovereto </t>
    </r>
    <r>
      <rPr>
        <sz val="11"/>
        <rFont val="Aptos Narrow"/>
        <family val="2"/>
        <scheme val="minor"/>
      </rPr>
      <t xml:space="preserve"> Medelana</t>
    </r>
  </si>
  <si>
    <t xml:space="preserve">Rubiera </t>
  </si>
  <si>
    <t>RUBIERA</t>
  </si>
  <si>
    <t>Russi</t>
  </si>
  <si>
    <t>RUSSI</t>
  </si>
  <si>
    <t>S. Benedetto Po</t>
  </si>
  <si>
    <t>S. BENEDETTO PO</t>
  </si>
  <si>
    <t>S. Bernardino</t>
  </si>
  <si>
    <t>S. Giacomo</t>
  </si>
  <si>
    <t>S. Giovanni</t>
  </si>
  <si>
    <r>
      <t>S. Polo</t>
    </r>
    <r>
      <rPr>
        <sz val="11"/>
        <rFont val="Aptos Narrow"/>
        <family val="2"/>
        <scheme val="minor"/>
      </rPr>
      <t xml:space="preserve"> d'Enza</t>
    </r>
  </si>
  <si>
    <t>S. POLO D'ENZA</t>
  </si>
  <si>
    <t>S. Tomaso</t>
  </si>
  <si>
    <t>S.Biagio</t>
  </si>
  <si>
    <t>S.Cassiano</t>
  </si>
  <si>
    <t>S.Felice sul Panaro</t>
  </si>
  <si>
    <t>S. FELICE SUL PANARO</t>
  </si>
  <si>
    <t>S.Giorgio di Piano</t>
  </si>
  <si>
    <t>S. GIORGIO DI PIANO</t>
  </si>
  <si>
    <t>S.Giovanni in Persiceto</t>
  </si>
  <si>
    <t>S. GIOVANNI IN PERSICETO</t>
  </si>
  <si>
    <t>S.Giuliano Piacentino</t>
  </si>
  <si>
    <t>S.Lazzaro Di Savena</t>
  </si>
  <si>
    <t>S. LAZZARO DI SAVENA</t>
  </si>
  <si>
    <t xml:space="preserve">S.Martino in Gattara </t>
  </si>
  <si>
    <t>S.Nicolò</t>
  </si>
  <si>
    <t xml:space="preserve">S.Pietro in Casale </t>
  </si>
  <si>
    <t>S. PIETRO IN CASALE</t>
  </si>
  <si>
    <t xml:space="preserve">Salsomaggiore Terme </t>
  </si>
  <si>
    <t>SALSOMAGGIORE TERME</t>
  </si>
  <si>
    <t>Samoggia</t>
  </si>
  <si>
    <t xml:space="preserve">ANZOLA </t>
  </si>
  <si>
    <t>San Benedetto Val di Sambro Castiglione dei Pepoli</t>
  </si>
  <si>
    <t>S. BENEDETTO VAL DI SAMBRO</t>
  </si>
  <si>
    <t>Santarcangelo di Romagna</t>
  </si>
  <si>
    <t>SANTARCANGELO DI ROMAGNA</t>
  </si>
  <si>
    <t>Sarmato</t>
  </si>
  <si>
    <t>SARMATO</t>
  </si>
  <si>
    <t>Sasso Marconi</t>
  </si>
  <si>
    <t>Sassuolo Quattroponti</t>
  </si>
  <si>
    <t>SASSUOLO</t>
  </si>
  <si>
    <t>Sassuolo Radici</t>
  </si>
  <si>
    <t>Sassuolo Terminal</t>
  </si>
  <si>
    <t>Savignano Centro</t>
  </si>
  <si>
    <t>SAVIGNANO SUL PANARO</t>
  </si>
  <si>
    <t>Savignano Mulino</t>
  </si>
  <si>
    <t xml:space="preserve">Savignano sul Rubicone </t>
  </si>
  <si>
    <t>SAVIGNANO SUL RUBICONE</t>
  </si>
  <si>
    <t>Scandiano</t>
  </si>
  <si>
    <t>Schivenoglia</t>
  </si>
  <si>
    <t>SCHIVENOGLIA</t>
  </si>
  <si>
    <t>Sermide</t>
  </si>
  <si>
    <t>S'Ilario d'Enza</t>
  </si>
  <si>
    <t>S. ILARIO D'ENZA</t>
  </si>
  <si>
    <t xml:space="preserve">Silla </t>
  </si>
  <si>
    <t>CASTEL DI CASIO</t>
  </si>
  <si>
    <t>Solarolo</t>
  </si>
  <si>
    <t>SOLAROLO</t>
  </si>
  <si>
    <t>Solignano</t>
  </si>
  <si>
    <t>SOLIGNANO</t>
  </si>
  <si>
    <t>Sorbolo</t>
  </si>
  <si>
    <t>SORBOLO MEZZANI</t>
  </si>
  <si>
    <t>Stellata Ficarolo</t>
  </si>
  <si>
    <t xml:space="preserve">Strada Casale </t>
  </si>
  <si>
    <t xml:space="preserve">Suzzara </t>
  </si>
  <si>
    <t xml:space="preserve">SUZZARA </t>
  </si>
  <si>
    <t>TOTALE NODO
Ferrara Suzzara
Modena Carpi Mantova
Parma Suzzara</t>
  </si>
  <si>
    <t>Tagliata</t>
  </si>
  <si>
    <t>Tresigallo - Correggi</t>
  </si>
  <si>
    <t>TRESIGNANA</t>
  </si>
  <si>
    <t xml:space="preserve">Vaio Ospedale </t>
  </si>
  <si>
    <t>Valcesura</t>
  </si>
  <si>
    <t>Varignana</t>
  </si>
  <si>
    <t>Veggia</t>
  </si>
  <si>
    <t xml:space="preserve">Vergato </t>
  </si>
  <si>
    <t>Vezzola</t>
  </si>
  <si>
    <t>Via Lunga</t>
  </si>
  <si>
    <t xml:space="preserve">Vicofertile </t>
  </si>
  <si>
    <t>Vigarano Pieve</t>
  </si>
  <si>
    <t>VIGARANO PIEVE</t>
  </si>
  <si>
    <t>Vignola</t>
  </si>
  <si>
    <t>VIGNOLA</t>
  </si>
  <si>
    <t>Villalunga</t>
  </si>
  <si>
    <t>Villanova d'Arda</t>
  </si>
  <si>
    <t>VILLANOVA SULL'ARDA</t>
  </si>
  <si>
    <t>Villanova di Reggiolo</t>
  </si>
  <si>
    <t>REGGIOLO</t>
  </si>
  <si>
    <t xml:space="preserve">RE </t>
  </si>
  <si>
    <t>Voltana</t>
  </si>
  <si>
    <t>Zola Centro</t>
  </si>
  <si>
    <t>Zola Chiesa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</si>
</sst>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rial"/>
      <family val="2"/>
    </font>
    <font>
      <sz val="11"/>
      <color rgb="FF000000"/>
      <name val="Aptos Narrow"/>
      <family val="2"/>
      <scheme val="minor"/>
    </font>
    <font>
      <b/>
      <strike/>
      <sz val="11"/>
      <color rgb="FFFF333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3" fontId="5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2">
    <cellStyle name="Normale" xfId="0" builtinId="0"/>
    <cellStyle name="Normale 2" xfId="1" xr:uid="{DEDE1CE8-4FC0-48DD-9430-BEF65051A112}"/>
  </cellStyles>
  <dxfs count="13">
    <dxf>
      <alignment horizontal="left" vertical="center" textRotation="0" wrapText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52D8E27-7F4F-41DA-9672-3CDAF8CFA8B2}" name="Tabella16" displayName="Tabella16" ref="A2:K318" totalsRowShown="0" headerRowDxfId="3" dataDxfId="2">
  <autoFilter ref="A2:K318" xr:uid="{81B4410D-553A-41EE-BCAD-CBF2A405724F}"/>
  <sortState xmlns:xlrd2="http://schemas.microsoft.com/office/spreadsheetml/2017/richdata2" ref="A3:K318">
    <sortCondition ref="A2:A318"/>
  </sortState>
  <tableColumns count="11">
    <tableColumn id="1" xr3:uid="{4A4B3A8D-BCFF-4664-8D4A-58E875904FA6}" name="STAZIONE" dataDxfId="0"/>
    <tableColumn id="2" xr3:uid="{6F7FC34A-CC63-4B20-9DA8-934E85EACD55}" name="COMUNE" dataDxfId="1"/>
    <tableColumn id="3" xr3:uid="{70750CDF-E871-4991-9B67-BA9DB7568C44}" name="PROVINCIA " dataDxfId="12"/>
    <tableColumn id="4" xr3:uid="{6FDF34BE-AF8A-4D8F-91C5-C69E549475E8}" name="MEDIA SALITI FERIALI" dataDxfId="11">
      <calculatedColumnFormula>8732/758</calculatedColumnFormula>
    </tableColumn>
    <tableColumn id="5" xr3:uid="{95EC95B7-36EB-4551-AAEE-6A5DD116D7A7}" name="MEDIA DISCESI FERIALI" dataDxfId="10">
      <calculatedColumnFormula>8942/758</calculatedColumnFormula>
    </tableColumn>
    <tableColumn id="14" xr3:uid="{E029D496-EC88-433E-B79D-C073D20E5609}" name="MEDIA SALITI SABATO" dataDxfId="9"/>
    <tableColumn id="15" xr3:uid="{323A06AD-09BD-4944-A646-3D30A386C2AB}" name="MEDIA DISCESI SABATO" dataDxfId="8"/>
    <tableColumn id="16" xr3:uid="{4BB1B533-ABD8-45BA-AC68-E3E2DBDFE22F}" name="MEDIA SALITI FESTIVI" dataDxfId="7"/>
    <tableColumn id="17" xr3:uid="{BE4C9506-F84A-425D-B9C5-3BC1AFAB38CB}" name="MEDIA DISCESI FESTIVI " dataDxfId="6"/>
    <tableColumn id="18" xr3:uid="{6E6C8D5F-DFDD-4725-B72F-10F05D4328ED}" name="LINEE DI RIFERIMENTO " dataDxfId="5"/>
    <tableColumn id="10" xr3:uid="{80BD8685-A6F3-4231-93D3-1D8C7F8416CA}" name="STAZIONE 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7E257-E563-48F6-9697-FE82332D9CD2}">
  <dimension ref="A1:K318"/>
  <sheetViews>
    <sheetView tabSelected="1" topLeftCell="A71" zoomScale="80" zoomScaleNormal="80" workbookViewId="0">
      <selection activeCell="Q15" sqref="Q15"/>
    </sheetView>
  </sheetViews>
  <sheetFormatPr defaultRowHeight="15" x14ac:dyDescent="0.25"/>
  <cols>
    <col min="1" max="1" width="27.7109375" style="8" bestFit="1" customWidth="1"/>
    <col min="2" max="2" width="27.7109375" style="2" bestFit="1" customWidth="1"/>
    <col min="3" max="3" width="20.7109375" style="2" customWidth="1"/>
    <col min="4" max="4" width="22.42578125" style="2" customWidth="1"/>
    <col min="5" max="5" width="21.28515625" style="2" customWidth="1"/>
    <col min="6" max="6" width="22.85546875" style="2" customWidth="1"/>
    <col min="7" max="7" width="20.7109375" style="2" customWidth="1"/>
    <col min="8" max="8" width="22.7109375" style="2" customWidth="1"/>
    <col min="9" max="9" width="22.28515625" style="2" bestFit="1" customWidth="1"/>
    <col min="10" max="10" width="26.85546875" style="2" bestFit="1" customWidth="1"/>
    <col min="11" max="11" width="24.5703125" style="2" customWidth="1"/>
  </cols>
  <sheetData>
    <row r="1" spans="1:11" x14ac:dyDescent="0.25">
      <c r="C1" s="3" t="s">
        <v>0</v>
      </c>
      <c r="D1" s="3"/>
      <c r="E1" s="3"/>
      <c r="F1" s="3"/>
      <c r="G1" s="3"/>
      <c r="H1" s="3"/>
    </row>
    <row r="2" spans="1:11" x14ac:dyDescent="0.25">
      <c r="A2" s="8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 x14ac:dyDescent="0.25">
      <c r="A3" s="9" t="s">
        <v>12</v>
      </c>
      <c r="B3" s="2" t="s">
        <v>13</v>
      </c>
      <c r="C3" s="2" t="s">
        <v>14</v>
      </c>
      <c r="D3" s="4">
        <f>5543/20</f>
        <v>277.14999999999998</v>
      </c>
      <c r="E3" s="4">
        <f>6044/20</f>
        <v>302.2</v>
      </c>
      <c r="F3" s="4">
        <f>1144/5</f>
        <v>228.8</v>
      </c>
      <c r="G3" s="4">
        <f>1095/5</f>
        <v>219</v>
      </c>
      <c r="H3" s="4">
        <f>502/5</f>
        <v>100.4</v>
      </c>
      <c r="I3" s="4">
        <f>501/5</f>
        <v>100.2</v>
      </c>
      <c r="J3" s="5" t="s">
        <v>15</v>
      </c>
      <c r="K3" s="6" t="s">
        <v>16</v>
      </c>
    </row>
    <row r="4" spans="1:11" x14ac:dyDescent="0.25">
      <c r="A4" s="9" t="s">
        <v>17</v>
      </c>
      <c r="B4" s="2" t="s">
        <v>18</v>
      </c>
      <c r="C4" s="2" t="s">
        <v>19</v>
      </c>
      <c r="D4" s="4">
        <f>8732/20</f>
        <v>436.6</v>
      </c>
      <c r="E4" s="4">
        <f>8942/20</f>
        <v>447.1</v>
      </c>
      <c r="F4" s="4">
        <f>1598/5</f>
        <v>319.60000000000002</v>
      </c>
      <c r="G4" s="4">
        <f>1523/5</f>
        <v>304.60000000000002</v>
      </c>
      <c r="H4" s="4">
        <f>792/5</f>
        <v>158.4</v>
      </c>
      <c r="I4" s="4">
        <f>1020/5</f>
        <v>204</v>
      </c>
      <c r="J4" s="5" t="s">
        <v>20</v>
      </c>
      <c r="K4" s="6" t="s">
        <v>16</v>
      </c>
    </row>
    <row r="5" spans="1:11" x14ac:dyDescent="0.25">
      <c r="A5" s="9" t="s">
        <v>21</v>
      </c>
      <c r="B5" s="2" t="s">
        <v>22</v>
      </c>
      <c r="C5" s="2" t="s">
        <v>23</v>
      </c>
      <c r="D5" s="4">
        <f>7494/20</f>
        <v>374.7</v>
      </c>
      <c r="E5" s="4">
        <f>8450/20</f>
        <v>422.5</v>
      </c>
      <c r="F5" s="4">
        <f>1101/5</f>
        <v>220.2</v>
      </c>
      <c r="G5" s="4">
        <f>1117/5</f>
        <v>223.4</v>
      </c>
      <c r="H5" s="4">
        <f>509/5</f>
        <v>101.8</v>
      </c>
      <c r="I5" s="4">
        <f>512/5</f>
        <v>102.4</v>
      </c>
      <c r="J5" s="5" t="s">
        <v>15</v>
      </c>
      <c r="K5" s="6" t="s">
        <v>16</v>
      </c>
    </row>
    <row r="6" spans="1:11" x14ac:dyDescent="0.25">
      <c r="A6" s="9" t="s">
        <v>24</v>
      </c>
      <c r="B6" s="2" t="s">
        <v>25</v>
      </c>
      <c r="C6" s="2" t="s">
        <v>26</v>
      </c>
      <c r="D6" s="4">
        <f>2262/20</f>
        <v>113.1</v>
      </c>
      <c r="E6" s="4">
        <f>2730/20</f>
        <v>136.5</v>
      </c>
      <c r="F6" s="4">
        <f>384/5</f>
        <v>76.8</v>
      </c>
      <c r="G6" s="4">
        <f>414/5</f>
        <v>82.8</v>
      </c>
      <c r="H6" s="4">
        <f>46/5</f>
        <v>9.1999999999999993</v>
      </c>
      <c r="I6" s="4">
        <f>108/5</f>
        <v>21.6</v>
      </c>
      <c r="J6" s="5" t="s">
        <v>27</v>
      </c>
      <c r="K6" s="4" t="s">
        <v>28</v>
      </c>
    </row>
    <row r="7" spans="1:11" x14ac:dyDescent="0.25">
      <c r="A7" s="9" t="s">
        <v>29</v>
      </c>
      <c r="B7" s="2" t="s">
        <v>30</v>
      </c>
      <c r="C7" s="2" t="s">
        <v>14</v>
      </c>
      <c r="D7" s="4">
        <f>6070/20</f>
        <v>303.5</v>
      </c>
      <c r="E7" s="4">
        <f>7680/20</f>
        <v>384</v>
      </c>
      <c r="F7" s="4">
        <f>1272/5</f>
        <v>254.4</v>
      </c>
      <c r="G7" s="4">
        <f>1506/5</f>
        <v>301.2</v>
      </c>
      <c r="H7" s="4">
        <f>781/5</f>
        <v>156.19999999999999</v>
      </c>
      <c r="I7" s="4">
        <f>1044/5</f>
        <v>208.8</v>
      </c>
      <c r="J7" s="5" t="s">
        <v>31</v>
      </c>
      <c r="K7" s="6" t="s">
        <v>16</v>
      </c>
    </row>
    <row r="8" spans="1:11" x14ac:dyDescent="0.25">
      <c r="A8" s="9" t="s">
        <v>32</v>
      </c>
      <c r="B8" s="2" t="s">
        <v>33</v>
      </c>
      <c r="C8" s="2" t="s">
        <v>34</v>
      </c>
      <c r="D8" s="4">
        <f>4011/20</f>
        <v>200.55</v>
      </c>
      <c r="E8" s="4">
        <f>4382/20</f>
        <v>219.1</v>
      </c>
      <c r="F8" s="4">
        <f>928/5</f>
        <v>185.6</v>
      </c>
      <c r="G8" s="4">
        <f>953/5</f>
        <v>190.6</v>
      </c>
      <c r="H8" s="4">
        <f>32/5</f>
        <v>6.4</v>
      </c>
      <c r="I8" s="4">
        <f>82/5</f>
        <v>16.399999999999999</v>
      </c>
      <c r="J8" s="5" t="s">
        <v>35</v>
      </c>
      <c r="K8" s="4" t="s">
        <v>28</v>
      </c>
    </row>
    <row r="9" spans="1:11" x14ac:dyDescent="0.25">
      <c r="A9" s="9" t="s">
        <v>36</v>
      </c>
      <c r="B9" s="2" t="s">
        <v>33</v>
      </c>
      <c r="C9" s="2" t="s">
        <v>34</v>
      </c>
      <c r="D9" s="4">
        <f>1302/20</f>
        <v>65.099999999999994</v>
      </c>
      <c r="E9" s="4">
        <f>1390/20</f>
        <v>69.5</v>
      </c>
      <c r="F9" s="4">
        <f>274/5</f>
        <v>54.8</v>
      </c>
      <c r="G9" s="4">
        <f>227/5</f>
        <v>45.4</v>
      </c>
      <c r="H9" s="4">
        <f>6/5</f>
        <v>1.2</v>
      </c>
      <c r="I9" s="4">
        <f>21/5</f>
        <v>4.2</v>
      </c>
      <c r="J9" s="5" t="s">
        <v>35</v>
      </c>
      <c r="K9" s="4" t="s">
        <v>28</v>
      </c>
    </row>
    <row r="10" spans="1:11" x14ac:dyDescent="0.25">
      <c r="A10" s="9" t="s">
        <v>37</v>
      </c>
      <c r="B10" s="2" t="s">
        <v>38</v>
      </c>
      <c r="C10" s="2" t="s">
        <v>14</v>
      </c>
      <c r="D10" s="4">
        <f>217/20</f>
        <v>10.85</v>
      </c>
      <c r="E10" s="4">
        <f>70/20</f>
        <v>3.5</v>
      </c>
      <c r="F10" s="4">
        <f>12/5</f>
        <v>2.4</v>
      </c>
      <c r="G10" s="4">
        <f>13/5</f>
        <v>2.6</v>
      </c>
      <c r="H10" s="2">
        <v>0</v>
      </c>
      <c r="I10" s="2">
        <v>0</v>
      </c>
      <c r="J10" s="2" t="s">
        <v>31</v>
      </c>
      <c r="K10" s="6" t="s">
        <v>16</v>
      </c>
    </row>
    <row r="11" spans="1:11" x14ac:dyDescent="0.25">
      <c r="A11" s="9" t="s">
        <v>39</v>
      </c>
      <c r="B11" s="2" t="s">
        <v>40</v>
      </c>
      <c r="C11" s="2" t="s">
        <v>34</v>
      </c>
      <c r="D11" s="4">
        <f>1442/20</f>
        <v>72.099999999999994</v>
      </c>
      <c r="E11" s="4">
        <f>1434/20</f>
        <v>71.7</v>
      </c>
      <c r="F11" s="4">
        <f>435/5</f>
        <v>87</v>
      </c>
      <c r="G11" s="4">
        <f>291/5</f>
        <v>58.2</v>
      </c>
      <c r="H11" s="4" t="s">
        <v>41</v>
      </c>
      <c r="I11" s="4" t="s">
        <v>41</v>
      </c>
      <c r="J11" s="5" t="s">
        <v>42</v>
      </c>
      <c r="K11" s="4" t="s">
        <v>28</v>
      </c>
    </row>
    <row r="12" spans="1:11" x14ac:dyDescent="0.25">
      <c r="A12" s="9" t="s">
        <v>43</v>
      </c>
      <c r="B12" s="2" t="s">
        <v>44</v>
      </c>
      <c r="C12" s="2" t="s">
        <v>19</v>
      </c>
      <c r="D12" s="4">
        <f>8425/20</f>
        <v>421.25</v>
      </c>
      <c r="E12" s="4">
        <f>9284/20</f>
        <v>464.2</v>
      </c>
      <c r="F12" s="4">
        <f>1944/5</f>
        <v>388.8</v>
      </c>
      <c r="G12" s="4">
        <f>1759/5</f>
        <v>351.8</v>
      </c>
      <c r="H12" s="4">
        <f>330/5</f>
        <v>66</v>
      </c>
      <c r="I12" s="4">
        <f>360/5</f>
        <v>72</v>
      </c>
      <c r="J12" s="5" t="s">
        <v>45</v>
      </c>
      <c r="K12" s="4" t="s">
        <v>28</v>
      </c>
    </row>
    <row r="13" spans="1:11" x14ac:dyDescent="0.25">
      <c r="A13" s="9" t="s">
        <v>46</v>
      </c>
      <c r="B13" s="2" t="s">
        <v>47</v>
      </c>
      <c r="C13" s="2" t="s">
        <v>48</v>
      </c>
      <c r="D13" s="4">
        <f>3880/20</f>
        <v>194</v>
      </c>
      <c r="E13" s="4">
        <f>4364/20</f>
        <v>218.2</v>
      </c>
      <c r="F13" s="4">
        <f>887/5</f>
        <v>177.4</v>
      </c>
      <c r="G13" s="4">
        <f>925/5</f>
        <v>185</v>
      </c>
      <c r="H13" s="4">
        <f>698/5</f>
        <v>139.6</v>
      </c>
      <c r="I13" s="4">
        <f>734/5</f>
        <v>146.80000000000001</v>
      </c>
      <c r="J13" s="6" t="s">
        <v>31</v>
      </c>
      <c r="K13" s="6" t="s">
        <v>16</v>
      </c>
    </row>
    <row r="14" spans="1:11" x14ac:dyDescent="0.25">
      <c r="A14" s="9" t="s">
        <v>49</v>
      </c>
      <c r="B14" s="2" t="s">
        <v>50</v>
      </c>
      <c r="C14" s="2" t="s">
        <v>51</v>
      </c>
      <c r="D14" s="4">
        <f>1446/20</f>
        <v>72.3</v>
      </c>
      <c r="E14" s="4">
        <f>1514/20</f>
        <v>75.7</v>
      </c>
      <c r="F14" s="4">
        <f>258/5</f>
        <v>51.6</v>
      </c>
      <c r="G14" s="4">
        <f>238/5</f>
        <v>47.6</v>
      </c>
      <c r="H14" s="4">
        <f>255/5</f>
        <v>51</v>
      </c>
      <c r="I14" s="4">
        <f>186/5</f>
        <v>37.200000000000003</v>
      </c>
      <c r="J14" s="5" t="s">
        <v>52</v>
      </c>
      <c r="K14" s="6" t="s">
        <v>16</v>
      </c>
    </row>
    <row r="15" spans="1:11" x14ac:dyDescent="0.25">
      <c r="A15" s="9" t="s">
        <v>53</v>
      </c>
      <c r="B15" s="2" t="s">
        <v>54</v>
      </c>
      <c r="C15" s="2" t="s">
        <v>26</v>
      </c>
      <c r="D15" s="4">
        <f>1388/20</f>
        <v>69.400000000000006</v>
      </c>
      <c r="E15" s="4">
        <f>1516/20</f>
        <v>75.8</v>
      </c>
      <c r="F15" s="4">
        <f>337/5</f>
        <v>67.400000000000006</v>
      </c>
      <c r="G15" s="4">
        <f>397/5</f>
        <v>79.400000000000006</v>
      </c>
      <c r="H15" s="4">
        <f>42/5</f>
        <v>8.4</v>
      </c>
      <c r="I15" s="4">
        <f>36/5</f>
        <v>7.2</v>
      </c>
      <c r="J15" s="5" t="s">
        <v>27</v>
      </c>
      <c r="K15" s="4" t="s">
        <v>28</v>
      </c>
    </row>
    <row r="16" spans="1:11" x14ac:dyDescent="0.25">
      <c r="A16" s="9" t="s">
        <v>55</v>
      </c>
      <c r="B16" s="2" t="s">
        <v>56</v>
      </c>
      <c r="C16" s="2" t="s">
        <v>19</v>
      </c>
      <c r="D16" s="4">
        <f>98/20</f>
        <v>4.9000000000000004</v>
      </c>
      <c r="E16" s="4">
        <f>46/20</f>
        <v>2.2999999999999998</v>
      </c>
      <c r="F16" s="4">
        <f>3/5</f>
        <v>0.6</v>
      </c>
      <c r="G16" s="4">
        <f>16/5</f>
        <v>3.2</v>
      </c>
      <c r="H16" s="4">
        <f>6/5</f>
        <v>1.2</v>
      </c>
      <c r="I16" s="4">
        <f>6/5</f>
        <v>1.2</v>
      </c>
      <c r="J16" s="5" t="s">
        <v>57</v>
      </c>
      <c r="K16" s="6" t="s">
        <v>16</v>
      </c>
    </row>
    <row r="17" spans="1:11" x14ac:dyDescent="0.25">
      <c r="A17" s="9" t="s">
        <v>58</v>
      </c>
      <c r="B17" s="2" t="s">
        <v>40</v>
      </c>
      <c r="C17" s="2" t="s">
        <v>34</v>
      </c>
      <c r="D17" s="4">
        <f>2336/20</f>
        <v>116.8</v>
      </c>
      <c r="E17" s="4">
        <f>2281/20</f>
        <v>114.05</v>
      </c>
      <c r="F17" s="4">
        <f>442/5</f>
        <v>88.4</v>
      </c>
      <c r="G17" s="4">
        <f>412/5</f>
        <v>82.4</v>
      </c>
      <c r="H17" s="4" t="s">
        <v>41</v>
      </c>
      <c r="I17" s="4" t="s">
        <v>41</v>
      </c>
      <c r="J17" s="5" t="s">
        <v>42</v>
      </c>
      <c r="K17" s="4" t="s">
        <v>28</v>
      </c>
    </row>
    <row r="18" spans="1:11" x14ac:dyDescent="0.25">
      <c r="A18" s="9" t="s">
        <v>59</v>
      </c>
      <c r="B18" s="2" t="s">
        <v>40</v>
      </c>
      <c r="C18" s="2" t="s">
        <v>34</v>
      </c>
      <c r="D18" s="4">
        <f>681/20</f>
        <v>34.049999999999997</v>
      </c>
      <c r="E18" s="4">
        <f>761/20</f>
        <v>38.049999999999997</v>
      </c>
      <c r="F18" s="4">
        <f>132/5</f>
        <v>26.4</v>
      </c>
      <c r="G18" s="4">
        <f>105/5</f>
        <v>21</v>
      </c>
      <c r="H18" s="4" t="s">
        <v>41</v>
      </c>
      <c r="I18" s="4" t="s">
        <v>41</v>
      </c>
      <c r="J18" s="5" t="s">
        <v>42</v>
      </c>
      <c r="K18" s="4" t="s">
        <v>28</v>
      </c>
    </row>
    <row r="19" spans="1:11" x14ac:dyDescent="0.25">
      <c r="A19" s="9" t="s">
        <v>60</v>
      </c>
      <c r="B19" s="2" t="s">
        <v>40</v>
      </c>
      <c r="C19" s="2" t="s">
        <v>34</v>
      </c>
      <c r="D19" s="4">
        <f>245/20</f>
        <v>12.25</v>
      </c>
      <c r="E19" s="4">
        <f>537/20</f>
        <v>26.85</v>
      </c>
      <c r="F19" s="4">
        <f>0/5</f>
        <v>0</v>
      </c>
      <c r="G19" s="4">
        <f>31/5</f>
        <v>6.2</v>
      </c>
      <c r="H19" s="4" t="s">
        <v>41</v>
      </c>
      <c r="I19" s="4" t="s">
        <v>41</v>
      </c>
      <c r="J19" s="5" t="s">
        <v>42</v>
      </c>
      <c r="K19" s="4" t="s">
        <v>28</v>
      </c>
    </row>
    <row r="20" spans="1:11" x14ac:dyDescent="0.25">
      <c r="A20" s="9" t="s">
        <v>61</v>
      </c>
      <c r="B20" s="2" t="s">
        <v>40</v>
      </c>
      <c r="C20" s="2" t="s">
        <v>34</v>
      </c>
      <c r="D20" s="4">
        <f>2059/20</f>
        <v>102.95</v>
      </c>
      <c r="E20" s="4">
        <f>2998/20</f>
        <v>149.9</v>
      </c>
      <c r="F20" s="4">
        <f>553/5</f>
        <v>110.6</v>
      </c>
      <c r="G20" s="4">
        <f>691/5</f>
        <v>138.19999999999999</v>
      </c>
      <c r="H20" s="4" t="s">
        <v>41</v>
      </c>
      <c r="I20" s="4" t="s">
        <v>41</v>
      </c>
      <c r="J20" s="5" t="s">
        <v>42</v>
      </c>
      <c r="K20" s="4" t="s">
        <v>28</v>
      </c>
    </row>
    <row r="21" spans="1:11" ht="45" x14ac:dyDescent="0.25">
      <c r="A21" s="9" t="s">
        <v>62</v>
      </c>
      <c r="B21" s="2" t="s">
        <v>63</v>
      </c>
      <c r="C21" s="2" t="s">
        <v>19</v>
      </c>
      <c r="D21" s="4">
        <f>32981/20</f>
        <v>1649.05</v>
      </c>
      <c r="E21" s="4">
        <f>30823/20</f>
        <v>1541.15</v>
      </c>
      <c r="F21" s="4">
        <f>5635/5</f>
        <v>1127</v>
      </c>
      <c r="G21" s="4">
        <f>5182/5</f>
        <v>1036.4000000000001</v>
      </c>
      <c r="H21" s="4">
        <f>2314/5</f>
        <v>462.8</v>
      </c>
      <c r="I21" s="4">
        <f>2377/5</f>
        <v>475.4</v>
      </c>
      <c r="J21" s="5" t="s">
        <v>64</v>
      </c>
      <c r="K21" s="6" t="s">
        <v>16</v>
      </c>
    </row>
    <row r="22" spans="1:11" x14ac:dyDescent="0.25">
      <c r="A22" s="9" t="s">
        <v>62</v>
      </c>
      <c r="B22" s="2" t="s">
        <v>63</v>
      </c>
      <c r="C22" s="2" t="s">
        <v>19</v>
      </c>
      <c r="D22" s="4">
        <f>19386/20</f>
        <v>969.3</v>
      </c>
      <c r="E22" s="4">
        <f>20609/20</f>
        <v>1030.45</v>
      </c>
      <c r="F22" s="4">
        <f>2988/5</f>
        <v>597.6</v>
      </c>
      <c r="G22" s="4">
        <f>3133/5</f>
        <v>626.6</v>
      </c>
      <c r="H22" s="4">
        <f>1846/5</f>
        <v>369.2</v>
      </c>
      <c r="I22" s="4">
        <f>1926/5</f>
        <v>385.2</v>
      </c>
      <c r="J22" s="5" t="s">
        <v>65</v>
      </c>
      <c r="K22" s="6" t="s">
        <v>16</v>
      </c>
    </row>
    <row r="23" spans="1:11" x14ac:dyDescent="0.25">
      <c r="A23" s="9" t="s">
        <v>62</v>
      </c>
      <c r="B23" s="2" t="s">
        <v>63</v>
      </c>
      <c r="C23" s="2" t="s">
        <v>19</v>
      </c>
      <c r="D23" s="4">
        <f>13595/20</f>
        <v>679.75</v>
      </c>
      <c r="E23" s="4">
        <f>10214/20</f>
        <v>510.7</v>
      </c>
      <c r="F23" s="4">
        <f>2647/5</f>
        <v>529.4</v>
      </c>
      <c r="G23" s="4">
        <f>2049/5</f>
        <v>409.8</v>
      </c>
      <c r="H23" s="4">
        <f>468/5</f>
        <v>93.6</v>
      </c>
      <c r="I23" s="4">
        <f>451/5</f>
        <v>90.2</v>
      </c>
      <c r="J23" s="5" t="s">
        <v>66</v>
      </c>
      <c r="K23" s="6" t="s">
        <v>16</v>
      </c>
    </row>
    <row r="24" spans="1:11" ht="135" x14ac:dyDescent="0.25">
      <c r="A24" s="9" t="s">
        <v>67</v>
      </c>
      <c r="B24" s="2" t="s">
        <v>63</v>
      </c>
      <c r="C24" s="2" t="s">
        <v>19</v>
      </c>
      <c r="D24" s="4">
        <f>839918/20</f>
        <v>41995.9</v>
      </c>
      <c r="E24" s="4">
        <f>778423/20</f>
        <v>38921.15</v>
      </c>
      <c r="F24" s="4">
        <f>175457/5</f>
        <v>35091.4</v>
      </c>
      <c r="G24" s="4">
        <f>163281/5</f>
        <v>32656.2</v>
      </c>
      <c r="H24" s="4">
        <f>137035/5</f>
        <v>27407</v>
      </c>
      <c r="I24" s="4">
        <f>118948/5</f>
        <v>23789.599999999999</v>
      </c>
      <c r="J24" s="6" t="s">
        <v>68</v>
      </c>
      <c r="K24" s="6" t="s">
        <v>16</v>
      </c>
    </row>
    <row r="25" spans="1:11" x14ac:dyDescent="0.25">
      <c r="A25" s="9" t="s">
        <v>67</v>
      </c>
      <c r="B25" s="2" t="s">
        <v>63</v>
      </c>
      <c r="C25" s="2" t="s">
        <v>19</v>
      </c>
      <c r="D25" s="4">
        <f>54825/20</f>
        <v>2741.25</v>
      </c>
      <c r="E25" s="4">
        <f>54018/20</f>
        <v>2700.9</v>
      </c>
      <c r="F25" s="4">
        <f>10226/5</f>
        <v>2045.2</v>
      </c>
      <c r="G25" s="4">
        <f>11393/5</f>
        <v>2278.6</v>
      </c>
      <c r="H25" s="4">
        <f>11242/5</f>
        <v>2248.4</v>
      </c>
      <c r="I25" s="4">
        <f>11235/5</f>
        <v>2247</v>
      </c>
      <c r="J25" s="5" t="s">
        <v>69</v>
      </c>
      <c r="K25" s="6" t="s">
        <v>16</v>
      </c>
    </row>
    <row r="26" spans="1:11" x14ac:dyDescent="0.25">
      <c r="A26" s="9" t="s">
        <v>67</v>
      </c>
      <c r="B26" s="2" t="s">
        <v>63</v>
      </c>
      <c r="C26" s="2" t="s">
        <v>19</v>
      </c>
      <c r="D26" s="4">
        <f>88499/20</f>
        <v>4424.95</v>
      </c>
      <c r="E26" s="4">
        <f>75843/20</f>
        <v>3792.15</v>
      </c>
      <c r="F26" s="4">
        <f>16659/5</f>
        <v>3331.8</v>
      </c>
      <c r="G26" s="4">
        <f>12655/5</f>
        <v>2531</v>
      </c>
      <c r="H26" s="4">
        <f>10350/5</f>
        <v>2070</v>
      </c>
      <c r="I26" s="4">
        <f>7465/5</f>
        <v>1493</v>
      </c>
      <c r="J26" s="5" t="s">
        <v>65</v>
      </c>
      <c r="K26" s="6" t="s">
        <v>16</v>
      </c>
    </row>
    <row r="27" spans="1:11" x14ac:dyDescent="0.25">
      <c r="A27" s="9" t="s">
        <v>67</v>
      </c>
      <c r="B27" s="2" t="s">
        <v>63</v>
      </c>
      <c r="C27" s="2" t="s">
        <v>19</v>
      </c>
      <c r="D27" s="4">
        <f>151359/20</f>
        <v>7567.95</v>
      </c>
      <c r="E27" s="4">
        <f>147727/20</f>
        <v>7386.35</v>
      </c>
      <c r="F27" s="4">
        <f>33230/5</f>
        <v>6646</v>
      </c>
      <c r="G27" s="4">
        <f>32151/5</f>
        <v>6430.2</v>
      </c>
      <c r="H27" s="4">
        <f>27372/5</f>
        <v>5474.4</v>
      </c>
      <c r="I27" s="4">
        <f>28853/5</f>
        <v>5770.6</v>
      </c>
      <c r="J27" s="5" t="s">
        <v>70</v>
      </c>
      <c r="K27" s="6" t="s">
        <v>16</v>
      </c>
    </row>
    <row r="28" spans="1:11" x14ac:dyDescent="0.25">
      <c r="A28" s="9" t="s">
        <v>67</v>
      </c>
      <c r="B28" s="2" t="s">
        <v>63</v>
      </c>
      <c r="C28" s="2" t="s">
        <v>19</v>
      </c>
      <c r="D28" s="4">
        <f>100983/20</f>
        <v>5049.1499999999996</v>
      </c>
      <c r="E28" s="4">
        <f>84291/20</f>
        <v>4214.55</v>
      </c>
      <c r="F28" s="4">
        <f>22362/5</f>
        <v>4472.3999999999996</v>
      </c>
      <c r="G28" s="4">
        <f>18562/5</f>
        <v>3712.4</v>
      </c>
      <c r="H28" s="4">
        <f>13724/5</f>
        <v>2744.8</v>
      </c>
      <c r="I28" s="4">
        <f>11790/5</f>
        <v>2358</v>
      </c>
      <c r="J28" s="2" t="s">
        <v>71</v>
      </c>
      <c r="K28" s="6" t="s">
        <v>16</v>
      </c>
    </row>
    <row r="29" spans="1:11" x14ac:dyDescent="0.25">
      <c r="A29" s="9" t="s">
        <v>67</v>
      </c>
      <c r="B29" s="2" t="s">
        <v>63</v>
      </c>
      <c r="C29" s="2" t="s">
        <v>19</v>
      </c>
      <c r="D29" s="4">
        <f>47452/20</f>
        <v>2372.6</v>
      </c>
      <c r="E29" s="4">
        <f>46430/20</f>
        <v>2321.5</v>
      </c>
      <c r="F29" s="4">
        <f>11047/5</f>
        <v>2209.4</v>
      </c>
      <c r="G29" s="4">
        <f>10787/5</f>
        <v>2157.4</v>
      </c>
      <c r="H29" s="4">
        <f>3100/5</f>
        <v>620</v>
      </c>
      <c r="I29" s="4">
        <f>2551/5</f>
        <v>510.2</v>
      </c>
      <c r="J29" s="5" t="s">
        <v>66</v>
      </c>
      <c r="K29" s="6" t="s">
        <v>16</v>
      </c>
    </row>
    <row r="30" spans="1:11" ht="30" x14ac:dyDescent="0.25">
      <c r="A30" s="9" t="s">
        <v>67</v>
      </c>
      <c r="B30" s="2" t="s">
        <v>63</v>
      </c>
      <c r="C30" s="2" t="s">
        <v>19</v>
      </c>
      <c r="D30" s="4">
        <f>85503/20+311297/20</f>
        <v>19840</v>
      </c>
      <c r="E30" s="4">
        <f>52909/20+317205/20</f>
        <v>18505.7</v>
      </c>
      <c r="F30" s="4">
        <f>17383/5+64550/5</f>
        <v>16386.599999999999</v>
      </c>
      <c r="G30" s="4">
        <f>12090/5+65643/5</f>
        <v>15546.6</v>
      </c>
      <c r="H30" s="4">
        <f>13141/5+58106/5</f>
        <v>14249.400000000001</v>
      </c>
      <c r="I30" s="4">
        <f>10045/5+47009/5</f>
        <v>11410.8</v>
      </c>
      <c r="J30" s="5" t="s">
        <v>72</v>
      </c>
      <c r="K30" s="6" t="s">
        <v>16</v>
      </c>
    </row>
    <row r="31" spans="1:11" x14ac:dyDescent="0.25">
      <c r="A31" s="9" t="s">
        <v>67</v>
      </c>
      <c r="B31" s="2" t="s">
        <v>63</v>
      </c>
      <c r="C31" s="2" t="s">
        <v>19</v>
      </c>
      <c r="D31" s="4" t="s">
        <v>41</v>
      </c>
      <c r="E31" s="4" t="s">
        <v>41</v>
      </c>
      <c r="F31" s="4" t="s">
        <v>41</v>
      </c>
      <c r="G31" s="4" t="s">
        <v>41</v>
      </c>
      <c r="H31" s="4" t="s">
        <v>41</v>
      </c>
      <c r="I31" s="4" t="s">
        <v>41</v>
      </c>
      <c r="J31" s="5" t="s">
        <v>73</v>
      </c>
      <c r="K31" s="6" t="s">
        <v>16</v>
      </c>
    </row>
    <row r="32" spans="1:11" x14ac:dyDescent="0.25">
      <c r="A32" s="9" t="s">
        <v>74</v>
      </c>
      <c r="B32" s="2" t="s">
        <v>63</v>
      </c>
      <c r="C32" s="2" t="s">
        <v>19</v>
      </c>
      <c r="D32" s="4">
        <f>3770/20</f>
        <v>188.5</v>
      </c>
      <c r="E32" s="4">
        <f>4664/20</f>
        <v>233.2</v>
      </c>
      <c r="F32" s="4">
        <f>645/5</f>
        <v>129</v>
      </c>
      <c r="G32" s="4">
        <f>682/5</f>
        <v>136.4</v>
      </c>
      <c r="H32" s="4">
        <f>158/5</f>
        <v>31.6</v>
      </c>
      <c r="I32" s="4">
        <f>170/5</f>
        <v>34</v>
      </c>
      <c r="J32" s="6" t="s">
        <v>70</v>
      </c>
      <c r="K32" s="6" t="s">
        <v>16</v>
      </c>
    </row>
    <row r="33" spans="1:11" ht="45" x14ac:dyDescent="0.25">
      <c r="A33" s="9" t="s">
        <v>75</v>
      </c>
      <c r="B33" s="2" t="s">
        <v>63</v>
      </c>
      <c r="C33" s="2" t="s">
        <v>19</v>
      </c>
      <c r="D33" s="4">
        <f>13375/20</f>
        <v>668.75</v>
      </c>
      <c r="E33" s="4">
        <f>15277/20</f>
        <v>763.85</v>
      </c>
      <c r="F33" s="4">
        <f>2190/5</f>
        <v>438</v>
      </c>
      <c r="G33" s="4">
        <f>2520/5</f>
        <v>504</v>
      </c>
      <c r="H33" s="4">
        <f>956/5</f>
        <v>191.2</v>
      </c>
      <c r="I33" s="4">
        <f>1216/5</f>
        <v>243.2</v>
      </c>
      <c r="J33" s="5" t="s">
        <v>76</v>
      </c>
      <c r="K33" s="6" t="s">
        <v>16</v>
      </c>
    </row>
    <row r="34" spans="1:11" x14ac:dyDescent="0.25">
      <c r="A34" s="9" t="s">
        <v>75</v>
      </c>
      <c r="B34" s="2" t="s">
        <v>63</v>
      </c>
      <c r="C34" s="2" t="s">
        <v>19</v>
      </c>
      <c r="D34" s="4">
        <f>6261/20</f>
        <v>313.05</v>
      </c>
      <c r="E34" s="4">
        <f>7643/20</f>
        <v>382.15</v>
      </c>
      <c r="F34" s="4">
        <f>875/5</f>
        <v>175</v>
      </c>
      <c r="G34" s="4">
        <f>1073/5</f>
        <v>214.6</v>
      </c>
      <c r="H34" s="4">
        <f>766/5</f>
        <v>153.19999999999999</v>
      </c>
      <c r="I34" s="4">
        <f>873/5</f>
        <v>174.6</v>
      </c>
      <c r="J34" s="5" t="s">
        <v>69</v>
      </c>
      <c r="K34" s="6" t="s">
        <v>16</v>
      </c>
    </row>
    <row r="35" spans="1:11" x14ac:dyDescent="0.25">
      <c r="A35" s="9" t="s">
        <v>75</v>
      </c>
      <c r="B35" s="2" t="s">
        <v>63</v>
      </c>
      <c r="C35" s="2" t="s">
        <v>19</v>
      </c>
      <c r="D35" s="4">
        <f>7114/20</f>
        <v>355.7</v>
      </c>
      <c r="E35" s="4">
        <f>7634/20</f>
        <v>381.7</v>
      </c>
      <c r="F35" s="4">
        <f>1315/5</f>
        <v>263</v>
      </c>
      <c r="G35" s="4">
        <f>1447/5</f>
        <v>289.39999999999998</v>
      </c>
      <c r="H35" s="4">
        <f>190/5</f>
        <v>38</v>
      </c>
      <c r="I35" s="4">
        <f>343/5</f>
        <v>68.599999999999994</v>
      </c>
      <c r="J35" s="5" t="s">
        <v>65</v>
      </c>
      <c r="K35" s="6" t="s">
        <v>16</v>
      </c>
    </row>
    <row r="36" spans="1:11" x14ac:dyDescent="0.25">
      <c r="A36" s="9" t="s">
        <v>77</v>
      </c>
      <c r="B36" s="2" t="s">
        <v>63</v>
      </c>
      <c r="C36" s="2" t="s">
        <v>19</v>
      </c>
      <c r="D36" s="4" t="s">
        <v>41</v>
      </c>
      <c r="E36" s="4" t="s">
        <v>41</v>
      </c>
      <c r="F36" s="4" t="s">
        <v>41</v>
      </c>
      <c r="G36" s="4" t="s">
        <v>41</v>
      </c>
      <c r="H36" s="4" t="s">
        <v>41</v>
      </c>
      <c r="I36" s="4" t="s">
        <v>41</v>
      </c>
      <c r="J36" s="5" t="s">
        <v>73</v>
      </c>
      <c r="K36" s="4" t="s">
        <v>28</v>
      </c>
    </row>
    <row r="37" spans="1:11" x14ac:dyDescent="0.25">
      <c r="A37" s="9" t="s">
        <v>78</v>
      </c>
      <c r="B37" s="2" t="s">
        <v>63</v>
      </c>
      <c r="C37" s="2" t="s">
        <v>19</v>
      </c>
      <c r="D37" s="4">
        <f>16014/20</f>
        <v>800.7</v>
      </c>
      <c r="E37" s="4">
        <f>12882/20</f>
        <v>644.1</v>
      </c>
      <c r="F37" s="4">
        <f>3008/5</f>
        <v>601.6</v>
      </c>
      <c r="G37" s="4">
        <f>2666/5</f>
        <v>533.20000000000005</v>
      </c>
      <c r="H37" s="4">
        <f>801/5</f>
        <v>160.19999999999999</v>
      </c>
      <c r="I37" s="4">
        <f>921/5</f>
        <v>184.2</v>
      </c>
      <c r="J37" s="5" t="s">
        <v>73</v>
      </c>
      <c r="K37" s="4" t="s">
        <v>28</v>
      </c>
    </row>
    <row r="38" spans="1:11" x14ac:dyDescent="0.25">
      <c r="A38" s="9" t="s">
        <v>79</v>
      </c>
      <c r="B38" s="2" t="s">
        <v>63</v>
      </c>
      <c r="C38" s="2" t="s">
        <v>19</v>
      </c>
      <c r="D38" s="4" t="s">
        <v>41</v>
      </c>
      <c r="E38" s="4" t="s">
        <v>41</v>
      </c>
      <c r="F38" s="4" t="s">
        <v>41</v>
      </c>
      <c r="G38" s="4" t="s">
        <v>41</v>
      </c>
      <c r="H38" s="4" t="s">
        <v>41</v>
      </c>
      <c r="I38" s="4" t="s">
        <v>41</v>
      </c>
      <c r="J38" s="5" t="s">
        <v>73</v>
      </c>
      <c r="K38" s="4" t="s">
        <v>28</v>
      </c>
    </row>
    <row r="39" spans="1:11" ht="45" x14ac:dyDescent="0.25">
      <c r="A39" s="9" t="s">
        <v>80</v>
      </c>
      <c r="B39" s="2" t="s">
        <v>63</v>
      </c>
      <c r="C39" s="2" t="s">
        <v>19</v>
      </c>
      <c r="D39" s="4">
        <f>11460/20</f>
        <v>573</v>
      </c>
      <c r="E39" s="4">
        <f>11972/20</f>
        <v>598.6</v>
      </c>
      <c r="F39" s="4">
        <f>1989/5</f>
        <v>397.8</v>
      </c>
      <c r="G39" s="4">
        <f>1993/5</f>
        <v>398.6</v>
      </c>
      <c r="H39" s="4">
        <v>164.8</v>
      </c>
      <c r="I39" s="4">
        <v>189.4</v>
      </c>
      <c r="J39" s="5" t="s">
        <v>76</v>
      </c>
      <c r="K39" s="6" t="s">
        <v>16</v>
      </c>
    </row>
    <row r="40" spans="1:11" x14ac:dyDescent="0.25">
      <c r="A40" s="9" t="s">
        <v>80</v>
      </c>
      <c r="B40" s="2" t="s">
        <v>63</v>
      </c>
      <c r="C40" s="2" t="s">
        <v>19</v>
      </c>
      <c r="D40" s="4">
        <f>5565/20</f>
        <v>278.25</v>
      </c>
      <c r="E40" s="4">
        <f>5850/20</f>
        <v>292.5</v>
      </c>
      <c r="F40" s="4">
        <f>817/5</f>
        <v>163.4</v>
      </c>
      <c r="G40" s="4">
        <f>792/5</f>
        <v>158.4</v>
      </c>
      <c r="H40" s="4">
        <f>639/5</f>
        <v>127.8</v>
      </c>
      <c r="I40" s="4">
        <f>678/5</f>
        <v>135.6</v>
      </c>
      <c r="J40" s="5" t="s">
        <v>69</v>
      </c>
      <c r="K40" s="6" t="s">
        <v>16</v>
      </c>
    </row>
    <row r="41" spans="1:11" x14ac:dyDescent="0.25">
      <c r="A41" s="9" t="s">
        <v>80</v>
      </c>
      <c r="B41" s="2" t="s">
        <v>63</v>
      </c>
      <c r="C41" s="2" t="s">
        <v>19</v>
      </c>
      <c r="D41" s="4">
        <f>5895/20</f>
        <v>294.75</v>
      </c>
      <c r="E41" s="4">
        <f>6122/20</f>
        <v>306.10000000000002</v>
      </c>
      <c r="F41" s="4">
        <f>1172/5</f>
        <v>234.4</v>
      </c>
      <c r="G41" s="4">
        <f>1201/5</f>
        <v>240.2</v>
      </c>
      <c r="H41" s="4">
        <f>185/5</f>
        <v>37</v>
      </c>
      <c r="I41" s="4">
        <f>269/5</f>
        <v>53.8</v>
      </c>
      <c r="J41" s="5" t="s">
        <v>65</v>
      </c>
      <c r="K41" s="6" t="s">
        <v>16</v>
      </c>
    </row>
    <row r="42" spans="1:11" ht="60" x14ac:dyDescent="0.25">
      <c r="A42" s="9" t="s">
        <v>81</v>
      </c>
      <c r="B42" s="2" t="s">
        <v>63</v>
      </c>
      <c r="C42" s="2" t="s">
        <v>19</v>
      </c>
      <c r="D42" s="4">
        <f>16685/20</f>
        <v>834.25</v>
      </c>
      <c r="E42" s="4">
        <f>18867/20</f>
        <v>943.35</v>
      </c>
      <c r="F42" s="4">
        <f>2698/5</f>
        <v>539.6</v>
      </c>
      <c r="G42" s="2">
        <f>3285/5</f>
        <v>657</v>
      </c>
      <c r="H42" s="2">
        <f>1030/5</f>
        <v>206</v>
      </c>
      <c r="I42" s="4">
        <f>1351/5</f>
        <v>270.2</v>
      </c>
      <c r="J42" s="6" t="s">
        <v>82</v>
      </c>
      <c r="K42" s="6" t="s">
        <v>16</v>
      </c>
    </row>
    <row r="43" spans="1:11" x14ac:dyDescent="0.25">
      <c r="A43" s="9" t="s">
        <v>81</v>
      </c>
      <c r="B43" s="2" t="s">
        <v>63</v>
      </c>
      <c r="C43" s="2" t="s">
        <v>19</v>
      </c>
      <c r="D43" s="4">
        <f>4794/20</f>
        <v>239.7</v>
      </c>
      <c r="E43" s="4">
        <f>5594/20</f>
        <v>279.7</v>
      </c>
      <c r="F43" s="4">
        <f>806/5</f>
        <v>161.19999999999999</v>
      </c>
      <c r="G43" s="4">
        <f>805/5</f>
        <v>161</v>
      </c>
      <c r="H43" s="4">
        <f>593/5</f>
        <v>118.6</v>
      </c>
      <c r="I43" s="4">
        <f>737/5</f>
        <v>147.4</v>
      </c>
      <c r="J43" s="5" t="s">
        <v>69</v>
      </c>
      <c r="K43" s="6" t="s">
        <v>16</v>
      </c>
    </row>
    <row r="44" spans="1:11" x14ac:dyDescent="0.25">
      <c r="A44" s="9" t="s">
        <v>81</v>
      </c>
      <c r="B44" s="2" t="s">
        <v>63</v>
      </c>
      <c r="C44" s="2" t="s">
        <v>19</v>
      </c>
      <c r="D44" s="4">
        <f>5712/20</f>
        <v>285.60000000000002</v>
      </c>
      <c r="E44" s="4">
        <f>6305/20</f>
        <v>315.25</v>
      </c>
      <c r="F44" s="4">
        <f>934/5</f>
        <v>186.8</v>
      </c>
      <c r="G44" s="4">
        <f>1205/5</f>
        <v>241</v>
      </c>
      <c r="H44" s="4">
        <f>216/5</f>
        <v>43.2</v>
      </c>
      <c r="I44" s="4">
        <f>309/5</f>
        <v>61.8</v>
      </c>
      <c r="J44" s="5" t="s">
        <v>65</v>
      </c>
      <c r="K44" s="6" t="s">
        <v>16</v>
      </c>
    </row>
    <row r="45" spans="1:11" ht="14.45" customHeight="1" x14ac:dyDescent="0.25">
      <c r="A45" s="9" t="s">
        <v>81</v>
      </c>
      <c r="B45" s="2" t="s">
        <v>63</v>
      </c>
      <c r="C45" s="2" t="s">
        <v>19</v>
      </c>
      <c r="D45" s="4">
        <f>6179/20</f>
        <v>308.95</v>
      </c>
      <c r="E45" s="4">
        <f>6968/20</f>
        <v>348.4</v>
      </c>
      <c r="F45" s="4">
        <f>958/5</f>
        <v>191.6</v>
      </c>
      <c r="G45" s="4">
        <f>1275/5</f>
        <v>255</v>
      </c>
      <c r="H45" s="4">
        <f>221/5</f>
        <v>44.2</v>
      </c>
      <c r="I45" s="4">
        <f>305/5</f>
        <v>61</v>
      </c>
      <c r="J45" s="7" t="s">
        <v>83</v>
      </c>
      <c r="K45" s="6" t="s">
        <v>16</v>
      </c>
    </row>
    <row r="46" spans="1:11" ht="14.45" customHeight="1" x14ac:dyDescent="0.25">
      <c r="A46" s="9" t="s">
        <v>84</v>
      </c>
      <c r="B46" s="2" t="s">
        <v>63</v>
      </c>
      <c r="C46" s="2" t="s">
        <v>19</v>
      </c>
      <c r="D46" s="4" t="s">
        <v>41</v>
      </c>
      <c r="E46" s="4" t="s">
        <v>41</v>
      </c>
      <c r="F46" s="4" t="s">
        <v>41</v>
      </c>
      <c r="G46" s="4" t="s">
        <v>41</v>
      </c>
      <c r="H46" s="4" t="s">
        <v>41</v>
      </c>
      <c r="I46" s="4" t="s">
        <v>41</v>
      </c>
      <c r="J46" s="5" t="s">
        <v>73</v>
      </c>
      <c r="K46" s="4" t="s">
        <v>28</v>
      </c>
    </row>
    <row r="47" spans="1:11" ht="14.45" customHeight="1" x14ac:dyDescent="0.25">
      <c r="A47" s="9" t="s">
        <v>85</v>
      </c>
      <c r="B47" s="2" t="s">
        <v>63</v>
      </c>
      <c r="C47" s="2" t="s">
        <v>19</v>
      </c>
      <c r="D47" s="4" t="s">
        <v>41</v>
      </c>
      <c r="E47" s="4" t="s">
        <v>41</v>
      </c>
      <c r="F47" s="4" t="s">
        <v>41</v>
      </c>
      <c r="G47" s="4" t="s">
        <v>41</v>
      </c>
      <c r="H47" s="4" t="s">
        <v>41</v>
      </c>
      <c r="I47" s="4" t="s">
        <v>41</v>
      </c>
      <c r="J47" s="5" t="s">
        <v>73</v>
      </c>
      <c r="K47" s="4" t="s">
        <v>28</v>
      </c>
    </row>
    <row r="48" spans="1:11" ht="57.6" customHeight="1" x14ac:dyDescent="0.25">
      <c r="A48" s="9" t="s">
        <v>86</v>
      </c>
      <c r="B48" s="2" t="s">
        <v>87</v>
      </c>
      <c r="C48" s="2" t="s">
        <v>23</v>
      </c>
      <c r="D48" s="4">
        <f>2470/20</f>
        <v>123.5</v>
      </c>
      <c r="E48" s="4">
        <f>2567/20</f>
        <v>128.35</v>
      </c>
      <c r="F48" s="4">
        <f>439/5</f>
        <v>87.8</v>
      </c>
      <c r="G48" s="4">
        <f>424/5</f>
        <v>84.8</v>
      </c>
      <c r="H48" s="4" t="s">
        <v>41</v>
      </c>
      <c r="I48" s="4" t="s">
        <v>41</v>
      </c>
      <c r="J48" s="5" t="s">
        <v>88</v>
      </c>
      <c r="K48" s="4" t="s">
        <v>28</v>
      </c>
    </row>
    <row r="49" spans="1:11" ht="14.45" customHeight="1" x14ac:dyDescent="0.25">
      <c r="A49" s="9" t="s">
        <v>89</v>
      </c>
      <c r="B49" s="2" t="s">
        <v>90</v>
      </c>
      <c r="C49" s="2" t="s">
        <v>34</v>
      </c>
      <c r="D49" s="4">
        <f>3179/20</f>
        <v>158.94999999999999</v>
      </c>
      <c r="E49" s="4">
        <f>2981/20</f>
        <v>149.05000000000001</v>
      </c>
      <c r="F49" s="4">
        <f>539/5</f>
        <v>107.8</v>
      </c>
      <c r="G49" s="4">
        <f>425/5</f>
        <v>85</v>
      </c>
      <c r="H49" s="4" t="s">
        <v>41</v>
      </c>
      <c r="I49" s="4" t="s">
        <v>41</v>
      </c>
      <c r="J49" s="5" t="s">
        <v>91</v>
      </c>
      <c r="K49" s="4" t="s">
        <v>28</v>
      </c>
    </row>
    <row r="50" spans="1:11" ht="14.45" customHeight="1" x14ac:dyDescent="0.25">
      <c r="A50" s="9" t="s">
        <v>92</v>
      </c>
      <c r="B50" s="2" t="s">
        <v>93</v>
      </c>
      <c r="C50" s="2" t="s">
        <v>51</v>
      </c>
      <c r="D50" s="4">
        <f>9054/20</f>
        <v>452.7</v>
      </c>
      <c r="E50" s="4">
        <f>9641/20</f>
        <v>482.05</v>
      </c>
      <c r="F50" s="4">
        <f>1432/5</f>
        <v>286.39999999999998</v>
      </c>
      <c r="G50" s="4">
        <f>1497/5</f>
        <v>299.39999999999998</v>
      </c>
      <c r="H50" s="4">
        <f>929/5</f>
        <v>185.8</v>
      </c>
      <c r="I50" s="4">
        <f>1016/5</f>
        <v>203.2</v>
      </c>
      <c r="J50" s="5" t="s">
        <v>52</v>
      </c>
      <c r="K50" s="6" t="s">
        <v>16</v>
      </c>
    </row>
    <row r="51" spans="1:11" ht="14.45" customHeight="1" x14ac:dyDescent="0.25">
      <c r="A51" s="9" t="s">
        <v>94</v>
      </c>
      <c r="B51" s="2" t="s">
        <v>95</v>
      </c>
      <c r="C51" s="2" t="s">
        <v>19</v>
      </c>
      <c r="D51" s="4">
        <f>7284/20</f>
        <v>364.2</v>
      </c>
      <c r="E51" s="4">
        <f>7396/20</f>
        <v>369.8</v>
      </c>
      <c r="F51" s="4">
        <f>1101/5</f>
        <v>220.2</v>
      </c>
      <c r="G51" s="4">
        <f>1166/5</f>
        <v>233.2</v>
      </c>
      <c r="H51" s="4">
        <f>572/5</f>
        <v>114.4</v>
      </c>
      <c r="I51" s="4">
        <f>683/5</f>
        <v>136.6</v>
      </c>
      <c r="J51" s="5" t="s">
        <v>65</v>
      </c>
      <c r="K51" s="6" t="s">
        <v>16</v>
      </c>
    </row>
    <row r="52" spans="1:11" ht="14.45" customHeight="1" x14ac:dyDescent="0.25">
      <c r="A52" s="9" t="s">
        <v>96</v>
      </c>
      <c r="B52" s="2" t="s">
        <v>97</v>
      </c>
      <c r="C52" s="2" t="s">
        <v>34</v>
      </c>
      <c r="D52" s="4">
        <f>3252/20</f>
        <v>162.6</v>
      </c>
      <c r="E52" s="4">
        <f>3462/20</f>
        <v>173.1</v>
      </c>
      <c r="F52" s="4">
        <f>583/5</f>
        <v>116.6</v>
      </c>
      <c r="G52" s="4">
        <f>572/5</f>
        <v>114.4</v>
      </c>
      <c r="H52" s="4" t="s">
        <v>41</v>
      </c>
      <c r="I52" s="4" t="s">
        <v>41</v>
      </c>
      <c r="J52" s="5" t="s">
        <v>91</v>
      </c>
      <c r="K52" s="4" t="s">
        <v>28</v>
      </c>
    </row>
    <row r="53" spans="1:11" x14ac:dyDescent="0.25">
      <c r="A53" s="9" t="s">
        <v>98</v>
      </c>
      <c r="B53" s="2" t="s">
        <v>99</v>
      </c>
      <c r="C53" s="2" t="s">
        <v>14</v>
      </c>
      <c r="D53" s="4">
        <f>2164/20</f>
        <v>108.2</v>
      </c>
      <c r="E53" s="4">
        <f>2227/20</f>
        <v>111.35</v>
      </c>
      <c r="F53" s="4">
        <f>457/5</f>
        <v>91.4</v>
      </c>
      <c r="G53" s="4">
        <f>326/5</f>
        <v>65.2</v>
      </c>
      <c r="H53" s="4">
        <f>405/5</f>
        <v>81</v>
      </c>
      <c r="I53" s="4">
        <f>271/5</f>
        <v>54.2</v>
      </c>
      <c r="J53" s="5" t="s">
        <v>100</v>
      </c>
      <c r="K53" s="6" t="s">
        <v>16</v>
      </c>
    </row>
    <row r="54" spans="1:11" x14ac:dyDescent="0.25">
      <c r="A54" s="9" t="s">
        <v>101</v>
      </c>
      <c r="B54" s="2" t="s">
        <v>102</v>
      </c>
      <c r="C54" s="2" t="s">
        <v>19</v>
      </c>
      <c r="D54" s="4">
        <f>5056/20</f>
        <v>252.8</v>
      </c>
      <c r="E54" s="4">
        <f>5358/20</f>
        <v>267.89999999999998</v>
      </c>
      <c r="F54" s="4">
        <f>744/5</f>
        <v>148.80000000000001</v>
      </c>
      <c r="G54" s="4">
        <f>757/5</f>
        <v>151.4</v>
      </c>
      <c r="H54" s="4">
        <f>173/5</f>
        <v>34.6</v>
      </c>
      <c r="I54" s="4">
        <f>183/5</f>
        <v>36.6</v>
      </c>
      <c r="J54" s="5" t="s">
        <v>73</v>
      </c>
      <c r="K54" s="4" t="s">
        <v>28</v>
      </c>
    </row>
    <row r="55" spans="1:11" x14ac:dyDescent="0.25">
      <c r="A55" s="9" t="s">
        <v>103</v>
      </c>
      <c r="B55" s="2" t="s">
        <v>102</v>
      </c>
      <c r="C55" s="2" t="s">
        <v>19</v>
      </c>
      <c r="D55" s="4">
        <f>5085/20</f>
        <v>254.25</v>
      </c>
      <c r="E55" s="4">
        <f>4973/20</f>
        <v>248.65</v>
      </c>
      <c r="F55" s="4">
        <f>815/5</f>
        <v>163</v>
      </c>
      <c r="G55" s="4">
        <f>701/5</f>
        <v>140.19999999999999</v>
      </c>
      <c r="H55" s="4">
        <f>198/5</f>
        <v>39.6</v>
      </c>
      <c r="I55" s="4">
        <f>169/5</f>
        <v>33.799999999999997</v>
      </c>
      <c r="J55" s="5" t="s">
        <v>73</v>
      </c>
      <c r="K55" s="4" t="s">
        <v>28</v>
      </c>
    </row>
    <row r="56" spans="1:11" x14ac:dyDescent="0.25">
      <c r="A56" s="9" t="s">
        <v>104</v>
      </c>
      <c r="B56" s="2" t="s">
        <v>105</v>
      </c>
      <c r="C56" s="2" t="s">
        <v>106</v>
      </c>
      <c r="D56" s="4">
        <f>3676/20</f>
        <v>183.8</v>
      </c>
      <c r="E56" s="4">
        <f>3308/20</f>
        <v>165.4</v>
      </c>
      <c r="F56" s="4">
        <f>724/5</f>
        <v>144.80000000000001</v>
      </c>
      <c r="G56" s="4">
        <f>484/5</f>
        <v>96.8</v>
      </c>
      <c r="H56" s="4">
        <f>68/5</f>
        <v>13.6</v>
      </c>
      <c r="I56" s="4">
        <f>31/5</f>
        <v>6.2</v>
      </c>
      <c r="J56" s="2" t="s">
        <v>107</v>
      </c>
      <c r="K56" s="6" t="s">
        <v>16</v>
      </c>
    </row>
    <row r="57" spans="1:11" x14ac:dyDescent="0.25">
      <c r="A57" s="9" t="s">
        <v>108</v>
      </c>
      <c r="B57" s="2" t="s">
        <v>109</v>
      </c>
      <c r="C57" s="2" t="s">
        <v>19</v>
      </c>
      <c r="D57" s="4">
        <f>1284/5</f>
        <v>256.8</v>
      </c>
      <c r="E57" s="4">
        <f>1261/5</f>
        <v>252.2</v>
      </c>
      <c r="F57" s="4">
        <f>180/5</f>
        <v>36</v>
      </c>
      <c r="G57" s="4">
        <f>166/5</f>
        <v>33.200000000000003</v>
      </c>
      <c r="H57" s="4">
        <f>34/5</f>
        <v>6.8</v>
      </c>
      <c r="I57" s="4">
        <f>26/5</f>
        <v>5.2</v>
      </c>
      <c r="J57" s="5" t="s">
        <v>73</v>
      </c>
      <c r="K57" s="4" t="s">
        <v>28</v>
      </c>
    </row>
    <row r="58" spans="1:11" x14ac:dyDescent="0.25">
      <c r="A58" s="9" t="s">
        <v>110</v>
      </c>
      <c r="B58" s="2" t="s">
        <v>111</v>
      </c>
      <c r="C58" s="2" t="s">
        <v>112</v>
      </c>
      <c r="D58" s="4">
        <f>343/20</f>
        <v>17.149999999999999</v>
      </c>
      <c r="E58" s="4">
        <f>473/20</f>
        <v>23.65</v>
      </c>
      <c r="F58" s="4">
        <f>36/5</f>
        <v>7.2</v>
      </c>
      <c r="G58" s="4">
        <f>44/5</f>
        <v>8.8000000000000007</v>
      </c>
      <c r="H58" s="4">
        <f>33/5</f>
        <v>6.6</v>
      </c>
      <c r="I58" s="4">
        <f>43/5</f>
        <v>8.6</v>
      </c>
      <c r="J58" s="5" t="s">
        <v>20</v>
      </c>
      <c r="K58" s="6" t="s">
        <v>16</v>
      </c>
    </row>
    <row r="59" spans="1:11" x14ac:dyDescent="0.25">
      <c r="A59" s="9" t="s">
        <v>113</v>
      </c>
      <c r="B59" s="2" t="s">
        <v>114</v>
      </c>
      <c r="C59" s="2" t="s">
        <v>19</v>
      </c>
      <c r="D59" s="4">
        <f>7711/20</f>
        <v>385.55</v>
      </c>
      <c r="E59" s="4">
        <f>7760/20</f>
        <v>388</v>
      </c>
      <c r="F59" s="4">
        <f>743/5</f>
        <v>148.6</v>
      </c>
      <c r="G59" s="4">
        <f>715/5</f>
        <v>143</v>
      </c>
      <c r="H59" s="4">
        <f>200/5</f>
        <v>40</v>
      </c>
      <c r="I59" s="4">
        <f>167/5</f>
        <v>33.4</v>
      </c>
      <c r="J59" s="2" t="s">
        <v>71</v>
      </c>
      <c r="K59" s="6" t="s">
        <v>16</v>
      </c>
    </row>
    <row r="60" spans="1:11" x14ac:dyDescent="0.25">
      <c r="A60" s="9" t="s">
        <v>115</v>
      </c>
      <c r="B60" s="2" t="s">
        <v>116</v>
      </c>
      <c r="C60" s="2" t="s">
        <v>26</v>
      </c>
      <c r="D60" s="4">
        <f>3648/20</f>
        <v>182.4</v>
      </c>
      <c r="E60" s="4">
        <f>4282/20</f>
        <v>214.1</v>
      </c>
      <c r="F60" s="4">
        <f>696/5</f>
        <v>139.19999999999999</v>
      </c>
      <c r="G60" s="4">
        <v>127.2</v>
      </c>
      <c r="H60" s="4">
        <f>207/5</f>
        <v>41.4</v>
      </c>
      <c r="I60" s="4">
        <f>204/5</f>
        <v>40.799999999999997</v>
      </c>
      <c r="J60" s="2" t="s">
        <v>71</v>
      </c>
      <c r="K60" s="6" t="s">
        <v>16</v>
      </c>
    </row>
    <row r="61" spans="1:11" x14ac:dyDescent="0.25">
      <c r="A61" s="9" t="s">
        <v>117</v>
      </c>
      <c r="B61" s="2" t="s">
        <v>118</v>
      </c>
      <c r="C61" s="2" t="s">
        <v>19</v>
      </c>
      <c r="D61" s="4">
        <f>121/20</f>
        <v>6.05</v>
      </c>
      <c r="E61" s="4">
        <f>132/20</f>
        <v>6.6</v>
      </c>
      <c r="F61" s="4">
        <f>55/5</f>
        <v>11</v>
      </c>
      <c r="G61" s="4">
        <f>39/5</f>
        <v>7.8</v>
      </c>
      <c r="H61" s="4">
        <f>9/5</f>
        <v>1.8</v>
      </c>
      <c r="I61" s="4">
        <f>8/5</f>
        <v>1.6</v>
      </c>
      <c r="J61" s="5" t="s">
        <v>65</v>
      </c>
      <c r="K61" s="6" t="s">
        <v>16</v>
      </c>
    </row>
    <row r="62" spans="1:11" x14ac:dyDescent="0.25">
      <c r="A62" s="9" t="s">
        <v>119</v>
      </c>
      <c r="B62" s="2" t="s">
        <v>120</v>
      </c>
      <c r="C62" s="2" t="s">
        <v>26</v>
      </c>
      <c r="D62" s="4">
        <f>34235/20</f>
        <v>1711.75</v>
      </c>
      <c r="E62" s="4">
        <f>35733/20</f>
        <v>1786.65</v>
      </c>
      <c r="F62" s="4">
        <f>5644/5</f>
        <v>1128.8</v>
      </c>
      <c r="G62" s="4">
        <f>6014/5</f>
        <v>1202.8</v>
      </c>
      <c r="H62" s="4">
        <f>2330/5</f>
        <v>466</v>
      </c>
      <c r="I62" s="4">
        <f>2396/5</f>
        <v>479.2</v>
      </c>
      <c r="J62" s="2" t="s">
        <v>121</v>
      </c>
      <c r="K62" s="6" t="s">
        <v>16</v>
      </c>
    </row>
    <row r="63" spans="1:11" x14ac:dyDescent="0.25">
      <c r="A63" s="9" t="s">
        <v>122</v>
      </c>
      <c r="B63" s="2" t="s">
        <v>123</v>
      </c>
      <c r="C63" s="2" t="s">
        <v>19</v>
      </c>
      <c r="D63" s="4">
        <f>3489/20</f>
        <v>174.45</v>
      </c>
      <c r="E63" s="4">
        <f>3868/20</f>
        <v>193.4</v>
      </c>
      <c r="F63" s="4">
        <f>690/5</f>
        <v>138</v>
      </c>
      <c r="G63" s="4">
        <f>771/5</f>
        <v>154.19999999999999</v>
      </c>
      <c r="H63" s="4">
        <f>121/5</f>
        <v>24.2</v>
      </c>
      <c r="I63" s="4">
        <f>117/5</f>
        <v>23.4</v>
      </c>
      <c r="J63" s="5" t="s">
        <v>45</v>
      </c>
      <c r="K63" s="4" t="s">
        <v>28</v>
      </c>
    </row>
    <row r="64" spans="1:11" x14ac:dyDescent="0.25">
      <c r="A64" s="9" t="s">
        <v>124</v>
      </c>
      <c r="B64" s="2" t="s">
        <v>123</v>
      </c>
      <c r="C64" s="2" t="s">
        <v>19</v>
      </c>
      <c r="D64" s="4">
        <f>12697/20</f>
        <v>634.85</v>
      </c>
      <c r="E64" s="4">
        <f>12941/20</f>
        <v>647.04999999999995</v>
      </c>
      <c r="F64" s="4">
        <f>2430/5</f>
        <v>486</v>
      </c>
      <c r="G64" s="4">
        <f>2340/5</f>
        <v>468</v>
      </c>
      <c r="H64" s="4">
        <f>1100/5</f>
        <v>220</v>
      </c>
      <c r="I64" s="4">
        <f>1288/5</f>
        <v>257.60000000000002</v>
      </c>
      <c r="J64" s="5" t="s">
        <v>65</v>
      </c>
      <c r="K64" s="6" t="s">
        <v>16</v>
      </c>
    </row>
    <row r="65" spans="1:11" ht="45" x14ac:dyDescent="0.25">
      <c r="A65" s="9" t="s">
        <v>125</v>
      </c>
      <c r="B65" s="2" t="s">
        <v>123</v>
      </c>
      <c r="C65" s="2" t="s">
        <v>19</v>
      </c>
      <c r="D65" s="4">
        <f>30098/20</f>
        <v>1504.9</v>
      </c>
      <c r="E65" s="4">
        <f>31812/20</f>
        <v>1590.6</v>
      </c>
      <c r="F65" s="4">
        <f>6093/5</f>
        <v>1218.5999999999999</v>
      </c>
      <c r="G65" s="4">
        <f>6006/5</f>
        <v>1201.2</v>
      </c>
      <c r="H65" s="4">
        <f>2131/5</f>
        <v>426.2</v>
      </c>
      <c r="I65" s="4">
        <f>2426/5</f>
        <v>485.2</v>
      </c>
      <c r="J65" s="5" t="s">
        <v>64</v>
      </c>
      <c r="K65" s="6" t="s">
        <v>16</v>
      </c>
    </row>
    <row r="66" spans="1:11" x14ac:dyDescent="0.25">
      <c r="A66" s="9" t="s">
        <v>125</v>
      </c>
      <c r="B66" s="2" t="s">
        <v>123</v>
      </c>
      <c r="C66" s="2" t="s">
        <v>19</v>
      </c>
      <c r="D66" s="4">
        <f>17309/20</f>
        <v>865.45</v>
      </c>
      <c r="E66" s="4">
        <f>19483/20</f>
        <v>974.15</v>
      </c>
      <c r="F66" s="4">
        <f>2935/5</f>
        <v>587</v>
      </c>
      <c r="G66" s="4">
        <f>3411/5</f>
        <v>682.2</v>
      </c>
      <c r="H66" s="4">
        <f>1582/5</f>
        <v>316.39999999999998</v>
      </c>
      <c r="I66" s="4">
        <f>1901/5</f>
        <v>380.2</v>
      </c>
      <c r="J66" s="5" t="s">
        <v>65</v>
      </c>
      <c r="K66" s="6" t="s">
        <v>16</v>
      </c>
    </row>
    <row r="67" spans="1:11" x14ac:dyDescent="0.25">
      <c r="A67" s="9" t="s">
        <v>125</v>
      </c>
      <c r="B67" s="2" t="s">
        <v>123</v>
      </c>
      <c r="C67" s="2" t="s">
        <v>19</v>
      </c>
      <c r="D67" s="4">
        <f>12789/20</f>
        <v>639.45000000000005</v>
      </c>
      <c r="E67" s="4">
        <f>12329/20</f>
        <v>616.45000000000005</v>
      </c>
      <c r="F67" s="4">
        <f>3158/5</f>
        <v>631.6</v>
      </c>
      <c r="G67" s="4">
        <f>2595/5</f>
        <v>519</v>
      </c>
      <c r="H67" s="4">
        <f>549/5</f>
        <v>109.8</v>
      </c>
      <c r="I67" s="4">
        <f>525/5</f>
        <v>105</v>
      </c>
      <c r="J67" s="5" t="s">
        <v>66</v>
      </c>
      <c r="K67" s="6" t="s">
        <v>16</v>
      </c>
    </row>
    <row r="68" spans="1:11" x14ac:dyDescent="0.25">
      <c r="A68" s="9" t="s">
        <v>126</v>
      </c>
      <c r="B68" s="2" t="s">
        <v>123</v>
      </c>
      <c r="C68" s="2" t="s">
        <v>19</v>
      </c>
      <c r="D68" s="4">
        <f>12073/20</f>
        <v>603.65</v>
      </c>
      <c r="E68" s="4">
        <f>14442/20</f>
        <v>722.1</v>
      </c>
      <c r="F68" s="4">
        <f>5442/5</f>
        <v>1088.4000000000001</v>
      </c>
      <c r="G68" s="4">
        <f>7102/5</f>
        <v>1420.4</v>
      </c>
      <c r="H68" s="4">
        <f>1521/5</f>
        <v>304.2</v>
      </c>
      <c r="I68" s="4">
        <f>1948/5</f>
        <v>389.6</v>
      </c>
      <c r="J68" s="5" t="s">
        <v>45</v>
      </c>
      <c r="K68" s="4" t="s">
        <v>28</v>
      </c>
    </row>
    <row r="69" spans="1:11" ht="30" x14ac:dyDescent="0.25">
      <c r="A69" s="9" t="s">
        <v>127</v>
      </c>
      <c r="B69" s="2" t="s">
        <v>128</v>
      </c>
      <c r="C69" s="2" t="s">
        <v>34</v>
      </c>
      <c r="D69" s="4">
        <f>4588/20</f>
        <v>229.4</v>
      </c>
      <c r="E69" s="4">
        <f>5169/20</f>
        <v>258.45</v>
      </c>
      <c r="F69" s="4">
        <f>762/5</f>
        <v>152.4</v>
      </c>
      <c r="G69" s="4">
        <f>613/5</f>
        <v>122.6</v>
      </c>
      <c r="H69" s="4">
        <f>44/5</f>
        <v>8.8000000000000007</v>
      </c>
      <c r="I69" s="4">
        <f>125/5</f>
        <v>25</v>
      </c>
      <c r="J69" s="5" t="s">
        <v>129</v>
      </c>
      <c r="K69" s="4" t="s">
        <v>28</v>
      </c>
    </row>
    <row r="70" spans="1:11" x14ac:dyDescent="0.25">
      <c r="A70" s="9" t="s">
        <v>130</v>
      </c>
      <c r="B70" s="2" t="s">
        <v>54</v>
      </c>
      <c r="C70" s="2" t="s">
        <v>26</v>
      </c>
      <c r="D70" s="4">
        <f>2232/20</f>
        <v>111.6</v>
      </c>
      <c r="E70" s="4">
        <f>2329/20</f>
        <v>116.45</v>
      </c>
      <c r="F70" s="4">
        <f>504/5</f>
        <v>100.8</v>
      </c>
      <c r="G70" s="4">
        <f>480/5</f>
        <v>96</v>
      </c>
      <c r="H70" s="4">
        <f>45/5</f>
        <v>9</v>
      </c>
      <c r="I70" s="4">
        <f>55/5</f>
        <v>11</v>
      </c>
      <c r="J70" s="5" t="s">
        <v>27</v>
      </c>
      <c r="K70" s="4" t="s">
        <v>28</v>
      </c>
    </row>
    <row r="71" spans="1:11" ht="45" x14ac:dyDescent="0.25">
      <c r="A71" s="9" t="s">
        <v>131</v>
      </c>
      <c r="B71" s="2" t="s">
        <v>132</v>
      </c>
      <c r="C71" s="2" t="s">
        <v>14</v>
      </c>
      <c r="D71" s="4">
        <f>36979/20</f>
        <v>1848.95</v>
      </c>
      <c r="E71" s="4">
        <f>44412/20</f>
        <v>2220.6</v>
      </c>
      <c r="F71" s="4">
        <f>7329/5</f>
        <v>1465.8</v>
      </c>
      <c r="G71" s="4">
        <f>7810/5</f>
        <v>1562</v>
      </c>
      <c r="H71" s="4">
        <f>3987/5</f>
        <v>797.4</v>
      </c>
      <c r="I71" s="4">
        <f>4415/5</f>
        <v>883</v>
      </c>
      <c r="J71" s="6" t="s">
        <v>133</v>
      </c>
      <c r="K71" s="6" t="s">
        <v>16</v>
      </c>
    </row>
    <row r="72" spans="1:11" x14ac:dyDescent="0.25">
      <c r="A72" s="9" t="s">
        <v>131</v>
      </c>
      <c r="B72" s="2" t="s">
        <v>132</v>
      </c>
      <c r="C72" s="2" t="s">
        <v>14</v>
      </c>
      <c r="D72" s="2">
        <f>13780/20</f>
        <v>689</v>
      </c>
      <c r="E72" s="2">
        <f>16797/20</f>
        <v>839.85</v>
      </c>
      <c r="F72" s="4">
        <f>2691/5</f>
        <v>538.20000000000005</v>
      </c>
      <c r="G72" s="4">
        <f>2994/5</f>
        <v>598.79999999999995</v>
      </c>
      <c r="H72" s="4">
        <f>1707/5</f>
        <v>341.4</v>
      </c>
      <c r="I72" s="4">
        <f>1725/5</f>
        <v>345</v>
      </c>
      <c r="J72" s="5" t="s">
        <v>31</v>
      </c>
      <c r="K72" s="6" t="s">
        <v>16</v>
      </c>
    </row>
    <row r="73" spans="1:11" x14ac:dyDescent="0.25">
      <c r="A73" s="9" t="s">
        <v>131</v>
      </c>
      <c r="B73" s="2" t="s">
        <v>132</v>
      </c>
      <c r="C73" s="2" t="s">
        <v>14</v>
      </c>
      <c r="D73" s="4">
        <f>23199/20</f>
        <v>1159.95</v>
      </c>
      <c r="E73" s="4">
        <f>27615/20</f>
        <v>1380.75</v>
      </c>
      <c r="F73" s="4">
        <f>4638/5</f>
        <v>927.6</v>
      </c>
      <c r="G73" s="4">
        <f>4816/5</f>
        <v>963.2</v>
      </c>
      <c r="H73" s="4">
        <f>2280/5</f>
        <v>456</v>
      </c>
      <c r="I73" s="4">
        <f>2690/5</f>
        <v>538</v>
      </c>
      <c r="J73" s="7" t="s">
        <v>83</v>
      </c>
      <c r="K73" s="6" t="s">
        <v>16</v>
      </c>
    </row>
    <row r="74" spans="1:11" x14ac:dyDescent="0.25">
      <c r="A74" s="9" t="s">
        <v>134</v>
      </c>
      <c r="B74" s="2" t="s">
        <v>135</v>
      </c>
      <c r="C74" s="2" t="s">
        <v>19</v>
      </c>
      <c r="D74" s="4">
        <f>5281/20</f>
        <v>264.05</v>
      </c>
      <c r="E74" s="4">
        <f>6454/20</f>
        <v>322.7</v>
      </c>
      <c r="F74" s="4">
        <f>888/5</f>
        <v>177.6</v>
      </c>
      <c r="G74" s="4">
        <f>818/5</f>
        <v>163.6</v>
      </c>
      <c r="H74" s="4">
        <f>365/5</f>
        <v>73</v>
      </c>
      <c r="I74" s="4">
        <f>345/5</f>
        <v>69</v>
      </c>
      <c r="J74" s="6" t="s">
        <v>70</v>
      </c>
      <c r="K74" s="6" t="s">
        <v>16</v>
      </c>
    </row>
    <row r="75" spans="1:11" x14ac:dyDescent="0.25">
      <c r="A75" s="9" t="s">
        <v>136</v>
      </c>
      <c r="B75" s="2" t="s">
        <v>137</v>
      </c>
      <c r="C75" s="2" t="s">
        <v>112</v>
      </c>
      <c r="D75" s="4">
        <f>3889/20</f>
        <v>194.45</v>
      </c>
      <c r="E75" s="4">
        <f>4079/20</f>
        <v>203.95</v>
      </c>
      <c r="F75" s="4">
        <f>831/5</f>
        <v>166.2</v>
      </c>
      <c r="G75" s="4">
        <f>836/5</f>
        <v>167.2</v>
      </c>
      <c r="H75" s="4">
        <f>647/5</f>
        <v>129.4</v>
      </c>
      <c r="I75" s="4">
        <f>842/5</f>
        <v>168.4</v>
      </c>
      <c r="J75" s="6" t="s">
        <v>138</v>
      </c>
      <c r="K75" s="6" t="s">
        <v>16</v>
      </c>
    </row>
    <row r="76" spans="1:11" ht="45" x14ac:dyDescent="0.25">
      <c r="A76" s="9" t="s">
        <v>139</v>
      </c>
      <c r="B76" s="2" t="s">
        <v>140</v>
      </c>
      <c r="C76" s="2" t="s">
        <v>19</v>
      </c>
      <c r="D76" s="4">
        <f>19870/20</f>
        <v>993.5</v>
      </c>
      <c r="E76" s="4">
        <f>22979/20</f>
        <v>1148.95</v>
      </c>
      <c r="F76" s="4">
        <f>4089/5</f>
        <v>817.8</v>
      </c>
      <c r="G76" s="4">
        <f>4471/5</f>
        <v>894.2</v>
      </c>
      <c r="H76" s="4">
        <f>1984/5</f>
        <v>396.8</v>
      </c>
      <c r="I76" s="4">
        <f>2388/5</f>
        <v>477.6</v>
      </c>
      <c r="J76" s="6" t="s">
        <v>133</v>
      </c>
      <c r="K76" s="6" t="s">
        <v>16</v>
      </c>
    </row>
    <row r="77" spans="1:11" x14ac:dyDescent="0.25">
      <c r="A77" s="9" t="s">
        <v>139</v>
      </c>
      <c r="B77" s="2" t="s">
        <v>140</v>
      </c>
      <c r="C77" s="2" t="s">
        <v>19</v>
      </c>
      <c r="D77" s="4">
        <f>891/20</f>
        <v>44.55</v>
      </c>
      <c r="E77" s="4">
        <f>1381/20</f>
        <v>69.05</v>
      </c>
      <c r="F77" s="4">
        <f>138/5</f>
        <v>27.6</v>
      </c>
      <c r="G77" s="4">
        <f>265/5</f>
        <v>53</v>
      </c>
      <c r="H77" s="4">
        <f>37/5</f>
        <v>7.4</v>
      </c>
      <c r="I77" s="4">
        <f>61/5</f>
        <v>12.2</v>
      </c>
      <c r="J77" s="5" t="s">
        <v>31</v>
      </c>
      <c r="K77" s="6" t="s">
        <v>16</v>
      </c>
    </row>
    <row r="78" spans="1:11" x14ac:dyDescent="0.25">
      <c r="A78" s="9" t="s">
        <v>139</v>
      </c>
      <c r="B78" s="2" t="s">
        <v>140</v>
      </c>
      <c r="C78" s="2" t="s">
        <v>19</v>
      </c>
      <c r="D78" s="4">
        <f>18978/20</f>
        <v>948.9</v>
      </c>
      <c r="E78" s="4">
        <f>21598/20</f>
        <v>1079.9000000000001</v>
      </c>
      <c r="F78" s="4">
        <f>3951/5</f>
        <v>790.2</v>
      </c>
      <c r="G78" s="4">
        <f>4206/5</f>
        <v>841.2</v>
      </c>
      <c r="H78" s="4">
        <f>1947/5</f>
        <v>389.4</v>
      </c>
      <c r="I78" s="4">
        <f>2327/5</f>
        <v>465.4</v>
      </c>
      <c r="J78" s="7" t="s">
        <v>83</v>
      </c>
      <c r="K78" s="6" t="s">
        <v>16</v>
      </c>
    </row>
    <row r="79" spans="1:11" ht="45" x14ac:dyDescent="0.25">
      <c r="A79" s="9" t="s">
        <v>141</v>
      </c>
      <c r="B79" s="2" t="s">
        <v>63</v>
      </c>
      <c r="C79" s="2" t="s">
        <v>19</v>
      </c>
      <c r="D79" s="4">
        <f>10351/20</f>
        <v>517.54999999999995</v>
      </c>
      <c r="E79" s="4">
        <f>9515/20</f>
        <v>475.75</v>
      </c>
      <c r="F79" s="4">
        <f>1810/5</f>
        <v>362</v>
      </c>
      <c r="G79" s="4">
        <f>1757/5</f>
        <v>351.4</v>
      </c>
      <c r="H79" s="4">
        <f>796/5</f>
        <v>159.19999999999999</v>
      </c>
      <c r="I79" s="4">
        <f>842/5</f>
        <v>168.4</v>
      </c>
      <c r="J79" s="5" t="s">
        <v>64</v>
      </c>
      <c r="K79" s="6" t="s">
        <v>16</v>
      </c>
    </row>
    <row r="80" spans="1:11" x14ac:dyDescent="0.25">
      <c r="A80" s="9" t="s">
        <v>141</v>
      </c>
      <c r="B80" s="2" t="s">
        <v>63</v>
      </c>
      <c r="C80" s="2" t="s">
        <v>19</v>
      </c>
      <c r="D80" s="4">
        <f>5244/20</f>
        <v>262.2</v>
      </c>
      <c r="E80" s="4">
        <f>5134/20</f>
        <v>256.7</v>
      </c>
      <c r="F80" s="4">
        <f>835/5</f>
        <v>167</v>
      </c>
      <c r="G80" s="4">
        <f>874/5</f>
        <v>174.8</v>
      </c>
      <c r="H80" s="4">
        <f>618/5</f>
        <v>123.6</v>
      </c>
      <c r="I80" s="4">
        <f>699/5</f>
        <v>139.80000000000001</v>
      </c>
      <c r="J80" s="5" t="s">
        <v>65</v>
      </c>
      <c r="K80" s="6" t="s">
        <v>16</v>
      </c>
    </row>
    <row r="81" spans="1:11" x14ac:dyDescent="0.25">
      <c r="A81" s="9" t="s">
        <v>141</v>
      </c>
      <c r="B81" s="2" t="s">
        <v>63</v>
      </c>
      <c r="C81" s="2" t="s">
        <v>19</v>
      </c>
      <c r="D81" s="4">
        <f>5107/20</f>
        <v>255.35</v>
      </c>
      <c r="E81" s="4">
        <f>4381/20</f>
        <v>219.05</v>
      </c>
      <c r="F81" s="4">
        <f>975/5</f>
        <v>195</v>
      </c>
      <c r="G81" s="4">
        <f>883/5</f>
        <v>176.6</v>
      </c>
      <c r="H81" s="4">
        <f>178/5</f>
        <v>35.6</v>
      </c>
      <c r="I81" s="4">
        <f>143/5</f>
        <v>28.6</v>
      </c>
      <c r="J81" s="5" t="s">
        <v>66</v>
      </c>
      <c r="K81" s="6" t="s">
        <v>16</v>
      </c>
    </row>
    <row r="82" spans="1:11" x14ac:dyDescent="0.25">
      <c r="A82" s="9" t="s">
        <v>142</v>
      </c>
      <c r="B82" s="2" t="s">
        <v>143</v>
      </c>
      <c r="C82" s="2" t="s">
        <v>26</v>
      </c>
      <c r="D82" s="4">
        <f>40129/20</f>
        <v>2006.45</v>
      </c>
      <c r="E82" s="4">
        <f>37027/20</f>
        <v>1851.35</v>
      </c>
      <c r="F82" s="4">
        <f>7489/5</f>
        <v>1497.8</v>
      </c>
      <c r="G82" s="4">
        <f>7441/5</f>
        <v>1488.2</v>
      </c>
      <c r="H82" s="4">
        <f>4447/5</f>
        <v>889.4</v>
      </c>
      <c r="I82" s="4">
        <f>5219/5</f>
        <v>1043.8</v>
      </c>
      <c r="J82" s="5" t="s">
        <v>20</v>
      </c>
      <c r="K82" s="6" t="s">
        <v>16</v>
      </c>
    </row>
    <row r="83" spans="1:11" x14ac:dyDescent="0.25">
      <c r="A83" s="9" t="s">
        <v>144</v>
      </c>
      <c r="B83" s="2" t="s">
        <v>145</v>
      </c>
      <c r="C83" s="2" t="s">
        <v>106</v>
      </c>
      <c r="D83" s="4">
        <f>209/20</f>
        <v>10.45</v>
      </c>
      <c r="E83" s="4">
        <f>103/20</f>
        <v>5.15</v>
      </c>
      <c r="F83" s="4">
        <f>1/5</f>
        <v>0.2</v>
      </c>
      <c r="G83" s="4">
        <f>1/5</f>
        <v>0.2</v>
      </c>
      <c r="H83" s="2">
        <v>0</v>
      </c>
      <c r="I83" s="4">
        <v>0</v>
      </c>
      <c r="J83" s="5" t="s">
        <v>20</v>
      </c>
      <c r="K83" s="6" t="s">
        <v>16</v>
      </c>
    </row>
    <row r="84" spans="1:11" x14ac:dyDescent="0.25">
      <c r="A84" s="9" t="s">
        <v>146</v>
      </c>
      <c r="B84" s="2" t="s">
        <v>147</v>
      </c>
      <c r="C84" s="2" t="s">
        <v>112</v>
      </c>
      <c r="D84" s="4">
        <f>917/20</f>
        <v>45.85</v>
      </c>
      <c r="E84" s="4">
        <f>812/20</f>
        <v>40.6</v>
      </c>
      <c r="F84" s="4">
        <f>166/5</f>
        <v>33.200000000000003</v>
      </c>
      <c r="G84" s="4">
        <f>127/5</f>
        <v>25.4</v>
      </c>
      <c r="H84" s="4">
        <f>48/5</f>
        <v>9.6</v>
      </c>
      <c r="I84" s="4">
        <f>26/5</f>
        <v>5.2</v>
      </c>
      <c r="J84" s="6" t="s">
        <v>107</v>
      </c>
      <c r="K84" s="6" t="s">
        <v>16</v>
      </c>
    </row>
    <row r="85" spans="1:11" x14ac:dyDescent="0.25">
      <c r="A85" s="9" t="s">
        <v>148</v>
      </c>
      <c r="B85" s="2" t="s">
        <v>109</v>
      </c>
      <c r="C85" s="2" t="s">
        <v>19</v>
      </c>
      <c r="D85" s="4">
        <f>1432/20</f>
        <v>71.599999999999994</v>
      </c>
      <c r="E85" s="4">
        <f>1945/20</f>
        <v>97.25</v>
      </c>
      <c r="F85" s="4">
        <f>294/5</f>
        <v>58.8</v>
      </c>
      <c r="G85" s="4">
        <f>233/5</f>
        <v>46.6</v>
      </c>
      <c r="H85" s="4">
        <f>45/5</f>
        <v>9</v>
      </c>
      <c r="I85" s="4">
        <f>46/5</f>
        <v>9.1999999999999993</v>
      </c>
      <c r="J85" s="5" t="s">
        <v>73</v>
      </c>
      <c r="K85" s="4" t="s">
        <v>28</v>
      </c>
    </row>
    <row r="86" spans="1:11" x14ac:dyDescent="0.25">
      <c r="A86" s="9" t="s">
        <v>149</v>
      </c>
      <c r="B86" s="2" t="s">
        <v>109</v>
      </c>
      <c r="C86" s="2" t="s">
        <v>19</v>
      </c>
      <c r="D86" s="4">
        <f>1080/20</f>
        <v>54</v>
      </c>
      <c r="E86" s="4">
        <f>1190/20</f>
        <v>59.5</v>
      </c>
      <c r="F86" s="4">
        <f>229/5</f>
        <v>45.8</v>
      </c>
      <c r="G86" s="4">
        <f>159/5</f>
        <v>31.8</v>
      </c>
      <c r="H86" s="4">
        <f>41/5</f>
        <v>8.1999999999999993</v>
      </c>
      <c r="I86" s="4">
        <f>27/5</f>
        <v>5.4</v>
      </c>
      <c r="J86" s="5" t="s">
        <v>73</v>
      </c>
      <c r="K86" s="4" t="s">
        <v>28</v>
      </c>
    </row>
    <row r="87" spans="1:11" x14ac:dyDescent="0.25">
      <c r="A87" s="9" t="s">
        <v>150</v>
      </c>
      <c r="B87" s="2" t="s">
        <v>151</v>
      </c>
      <c r="C87" s="2" t="s">
        <v>106</v>
      </c>
      <c r="D87" s="4">
        <f>153/20</f>
        <v>7.65</v>
      </c>
      <c r="E87" s="4">
        <f>134/20</f>
        <v>6.7</v>
      </c>
      <c r="F87" s="4">
        <f>26/5</f>
        <v>5.2</v>
      </c>
      <c r="G87" s="4">
        <f>21/5</f>
        <v>4.2</v>
      </c>
      <c r="H87" s="4">
        <f>0/5</f>
        <v>0</v>
      </c>
      <c r="I87" s="4">
        <f>1/5</f>
        <v>0.2</v>
      </c>
      <c r="J87" s="2" t="s">
        <v>107</v>
      </c>
      <c r="K87" s="6" t="s">
        <v>16</v>
      </c>
    </row>
    <row r="88" spans="1:11" x14ac:dyDescent="0.25">
      <c r="A88" s="9" t="s">
        <v>152</v>
      </c>
      <c r="B88" s="2" t="s">
        <v>153</v>
      </c>
      <c r="C88" s="2" t="s">
        <v>48</v>
      </c>
      <c r="D88" s="4">
        <f>20490/20</f>
        <v>1024.5</v>
      </c>
      <c r="E88" s="4">
        <f>21814/20</f>
        <v>1090.7</v>
      </c>
      <c r="F88" s="4">
        <f>4185/5</f>
        <v>837</v>
      </c>
      <c r="G88" s="4">
        <f>4287/5</f>
        <v>857.4</v>
      </c>
      <c r="H88" s="4">
        <f>2505/5</f>
        <v>501</v>
      </c>
      <c r="I88" s="4">
        <f>2726/5</f>
        <v>545.20000000000005</v>
      </c>
      <c r="J88" s="7" t="s">
        <v>83</v>
      </c>
      <c r="K88" s="6" t="s">
        <v>16</v>
      </c>
    </row>
    <row r="89" spans="1:11" x14ac:dyDescent="0.25">
      <c r="A89" s="9" t="s">
        <v>154</v>
      </c>
      <c r="B89" s="2" t="s">
        <v>155</v>
      </c>
      <c r="C89" s="2" t="s">
        <v>34</v>
      </c>
      <c r="D89" s="4">
        <f>1521/20</f>
        <v>76.05</v>
      </c>
      <c r="E89" s="4">
        <f>1721/20</f>
        <v>86.05</v>
      </c>
      <c r="F89" s="4">
        <f>306/5</f>
        <v>61.2</v>
      </c>
      <c r="G89" s="4">
        <f>468/5</f>
        <v>93.6</v>
      </c>
      <c r="H89" s="4" t="s">
        <v>41</v>
      </c>
      <c r="I89" s="4" t="s">
        <v>41</v>
      </c>
      <c r="J89" s="5" t="s">
        <v>42</v>
      </c>
      <c r="K89" s="4" t="s">
        <v>28</v>
      </c>
    </row>
    <row r="90" spans="1:11" x14ac:dyDescent="0.25">
      <c r="A90" s="9" t="s">
        <v>156</v>
      </c>
      <c r="B90" s="2" t="s">
        <v>155</v>
      </c>
      <c r="C90" s="2" t="s">
        <v>34</v>
      </c>
      <c r="D90" s="4">
        <f>1079/20</f>
        <v>53.95</v>
      </c>
      <c r="E90" s="4">
        <f>1285/20</f>
        <v>64.25</v>
      </c>
      <c r="F90" s="4">
        <f>179/5</f>
        <v>35.799999999999997</v>
      </c>
      <c r="G90" s="4">
        <f>290/5</f>
        <v>58</v>
      </c>
      <c r="H90" s="4" t="s">
        <v>41</v>
      </c>
      <c r="I90" s="4" t="s">
        <v>41</v>
      </c>
      <c r="J90" s="5" t="s">
        <v>42</v>
      </c>
      <c r="K90" s="4" t="s">
        <v>28</v>
      </c>
    </row>
    <row r="91" spans="1:11" x14ac:dyDescent="0.25">
      <c r="A91" s="9" t="s">
        <v>157</v>
      </c>
      <c r="B91" s="2" t="s">
        <v>158</v>
      </c>
      <c r="C91" s="2" t="s">
        <v>14</v>
      </c>
      <c r="D91" s="4">
        <f>13636/20</f>
        <v>681.8</v>
      </c>
      <c r="E91" s="4">
        <f>15686/20</f>
        <v>784.3</v>
      </c>
      <c r="F91" s="4">
        <f>2518/5</f>
        <v>503.6</v>
      </c>
      <c r="G91" s="4">
        <f>2993/5</f>
        <v>598.6</v>
      </c>
      <c r="H91" s="4">
        <f>2358/5</f>
        <v>471.6</v>
      </c>
      <c r="I91" s="4">
        <f>2240/5</f>
        <v>448</v>
      </c>
      <c r="J91" s="6" t="s">
        <v>31</v>
      </c>
      <c r="K91" s="6" t="s">
        <v>16</v>
      </c>
    </row>
    <row r="92" spans="1:11" x14ac:dyDescent="0.25">
      <c r="A92" s="9" t="s">
        <v>159</v>
      </c>
      <c r="B92" s="2" t="s">
        <v>160</v>
      </c>
      <c r="C92" s="2" t="s">
        <v>161</v>
      </c>
      <c r="D92" s="4">
        <f>67613/20</f>
        <v>3380.65</v>
      </c>
      <c r="E92" s="4">
        <f>60583/20</f>
        <v>3029.15</v>
      </c>
      <c r="F92" s="4">
        <f>12247/5</f>
        <v>2449.4</v>
      </c>
      <c r="G92" s="4">
        <f>10800/5</f>
        <v>2160</v>
      </c>
      <c r="H92" s="4">
        <f>5950/5</f>
        <v>1190</v>
      </c>
      <c r="I92" s="4">
        <f>6009/5</f>
        <v>1201.8</v>
      </c>
      <c r="J92" s="7" t="s">
        <v>83</v>
      </c>
      <c r="K92" s="6" t="s">
        <v>16</v>
      </c>
    </row>
    <row r="93" spans="1:11" x14ac:dyDescent="0.25">
      <c r="A93" s="9" t="s">
        <v>162</v>
      </c>
      <c r="B93" s="2" t="s">
        <v>163</v>
      </c>
      <c r="C93" s="2" t="s">
        <v>161</v>
      </c>
      <c r="D93" s="4">
        <f>7336/20</f>
        <v>366.8</v>
      </c>
      <c r="E93" s="4">
        <f>8599/20</f>
        <v>429.95</v>
      </c>
      <c r="F93" s="4">
        <f>1993/5</f>
        <v>398.6</v>
      </c>
      <c r="G93" s="4">
        <f>2024/5</f>
        <v>404.8</v>
      </c>
      <c r="H93" s="4">
        <f>1712/5</f>
        <v>342.4</v>
      </c>
      <c r="I93" s="4">
        <f>1899/5</f>
        <v>379.8</v>
      </c>
      <c r="J93" s="6" t="s">
        <v>31</v>
      </c>
      <c r="K93" s="6" t="s">
        <v>16</v>
      </c>
    </row>
    <row r="94" spans="1:11" ht="30" x14ac:dyDescent="0.25">
      <c r="A94" s="9" t="s">
        <v>164</v>
      </c>
      <c r="B94" s="2" t="s">
        <v>165</v>
      </c>
      <c r="C94" s="2" t="s">
        <v>34</v>
      </c>
      <c r="D94" s="4">
        <f>782/20</f>
        <v>39.1</v>
      </c>
      <c r="E94" s="4">
        <f>938/20</f>
        <v>46.9</v>
      </c>
      <c r="F94" s="4">
        <f>110/5</f>
        <v>22</v>
      </c>
      <c r="G94" s="4">
        <f>116/5</f>
        <v>23.2</v>
      </c>
      <c r="H94" s="4">
        <f>3/5</f>
        <v>0.6</v>
      </c>
      <c r="I94" s="4">
        <f>14/5</f>
        <v>2.8</v>
      </c>
      <c r="J94" s="5" t="s">
        <v>129</v>
      </c>
      <c r="K94" s="4" t="s">
        <v>28</v>
      </c>
    </row>
    <row r="95" spans="1:11" x14ac:dyDescent="0.25">
      <c r="A95" s="9" t="s">
        <v>166</v>
      </c>
      <c r="B95" s="2" t="s">
        <v>167</v>
      </c>
      <c r="C95" s="2" t="s">
        <v>106</v>
      </c>
      <c r="D95" s="4">
        <f>260/20</f>
        <v>13</v>
      </c>
      <c r="E95" s="4">
        <f>244/20</f>
        <v>12.2</v>
      </c>
      <c r="F95" s="4">
        <f>49/5</f>
        <v>9.8000000000000007</v>
      </c>
      <c r="G95" s="4">
        <f>44/5</f>
        <v>8.8000000000000007</v>
      </c>
      <c r="H95" s="4" t="s">
        <v>41</v>
      </c>
      <c r="I95" s="4" t="s">
        <v>41</v>
      </c>
      <c r="J95" s="5" t="s">
        <v>91</v>
      </c>
      <c r="K95" s="4" t="s">
        <v>28</v>
      </c>
    </row>
    <row r="96" spans="1:11" x14ac:dyDescent="0.25">
      <c r="A96" s="9" t="s">
        <v>168</v>
      </c>
      <c r="B96" s="2" t="s">
        <v>169</v>
      </c>
      <c r="C96" s="2" t="s">
        <v>34</v>
      </c>
      <c r="D96" s="4">
        <f>1541/20</f>
        <v>77.05</v>
      </c>
      <c r="E96" s="4">
        <f>1901/20</f>
        <v>95.05</v>
      </c>
      <c r="F96" s="4">
        <f>400/5</f>
        <v>80</v>
      </c>
      <c r="G96" s="4">
        <f>378/5</f>
        <v>75.599999999999994</v>
      </c>
      <c r="H96" s="4" t="s">
        <v>41</v>
      </c>
      <c r="I96" s="4" t="s">
        <v>41</v>
      </c>
      <c r="J96" s="5" t="s">
        <v>42</v>
      </c>
      <c r="K96" s="4" t="s">
        <v>28</v>
      </c>
    </row>
    <row r="97" spans="1:11" x14ac:dyDescent="0.25">
      <c r="A97" s="9" t="s">
        <v>170</v>
      </c>
      <c r="B97" s="2" t="s">
        <v>169</v>
      </c>
      <c r="C97" s="2" t="s">
        <v>34</v>
      </c>
      <c r="D97" s="4">
        <f>460/20</f>
        <v>23</v>
      </c>
      <c r="E97" s="4">
        <f>571/20</f>
        <v>28.55</v>
      </c>
      <c r="F97" s="4">
        <f>114/5</f>
        <v>22.8</v>
      </c>
      <c r="G97" s="4">
        <f>148/5</f>
        <v>29.6</v>
      </c>
      <c r="H97" s="4" t="s">
        <v>41</v>
      </c>
      <c r="I97" s="4" t="s">
        <v>41</v>
      </c>
      <c r="J97" s="5" t="s">
        <v>42</v>
      </c>
      <c r="K97" s="4" t="s">
        <v>28</v>
      </c>
    </row>
    <row r="98" spans="1:11" x14ac:dyDescent="0.25">
      <c r="A98" s="9" t="s">
        <v>171</v>
      </c>
      <c r="B98" s="2" t="s">
        <v>172</v>
      </c>
      <c r="C98" s="2" t="s">
        <v>14</v>
      </c>
      <c r="D98" s="4">
        <f>892/20</f>
        <v>44.6</v>
      </c>
      <c r="E98" s="4">
        <f>954/20</f>
        <v>47.7</v>
      </c>
      <c r="F98" s="4">
        <f>170/5</f>
        <v>34</v>
      </c>
      <c r="G98" s="4">
        <f>190/5</f>
        <v>38</v>
      </c>
      <c r="H98" s="4">
        <f>92/5</f>
        <v>18.399999999999999</v>
      </c>
      <c r="I98" s="4">
        <f>77/5</f>
        <v>15.4</v>
      </c>
      <c r="J98" s="6" t="s">
        <v>31</v>
      </c>
      <c r="K98" s="6" t="s">
        <v>16</v>
      </c>
    </row>
    <row r="99" spans="1:11" x14ac:dyDescent="0.25">
      <c r="A99" s="9" t="s">
        <v>173</v>
      </c>
      <c r="B99" s="2" t="s">
        <v>174</v>
      </c>
      <c r="C99" s="2" t="s">
        <v>23</v>
      </c>
      <c r="D99" s="1">
        <f>2706/20</f>
        <v>135.30000000000001</v>
      </c>
      <c r="E99" s="4">
        <f>3490/20</f>
        <v>174.5</v>
      </c>
      <c r="F99" s="4">
        <f>541/5</f>
        <v>108.2</v>
      </c>
      <c r="G99" s="4">
        <f>609/5</f>
        <v>121.8</v>
      </c>
      <c r="H99" s="4" t="s">
        <v>41</v>
      </c>
      <c r="I99" s="4" t="s">
        <v>41</v>
      </c>
      <c r="J99" s="5" t="s">
        <v>175</v>
      </c>
      <c r="K99" s="4" t="s">
        <v>28</v>
      </c>
    </row>
    <row r="100" spans="1:11" x14ac:dyDescent="0.25">
      <c r="A100" s="9" t="s">
        <v>176</v>
      </c>
      <c r="B100" s="2" t="s">
        <v>177</v>
      </c>
      <c r="C100" s="2" t="s">
        <v>34</v>
      </c>
      <c r="D100" s="4">
        <f>3244/20</f>
        <v>162.19999999999999</v>
      </c>
      <c r="E100" s="4">
        <f>3429/20</f>
        <v>171.45</v>
      </c>
      <c r="F100" s="4">
        <f>481/5</f>
        <v>96.2</v>
      </c>
      <c r="G100" s="4">
        <f>536/5</f>
        <v>107.2</v>
      </c>
      <c r="H100" s="4" t="s">
        <v>41</v>
      </c>
      <c r="I100" s="4" t="s">
        <v>41</v>
      </c>
      <c r="J100" s="5" t="s">
        <v>91</v>
      </c>
      <c r="K100" s="4" t="s">
        <v>28</v>
      </c>
    </row>
    <row r="101" spans="1:11" x14ac:dyDescent="0.25">
      <c r="A101" s="9" t="s">
        <v>178</v>
      </c>
      <c r="B101" s="2" t="s">
        <v>179</v>
      </c>
      <c r="C101" s="2" t="s">
        <v>106</v>
      </c>
      <c r="D101" s="4">
        <f>4244/20</f>
        <v>212.2</v>
      </c>
      <c r="E101" s="4">
        <v>245.45</v>
      </c>
      <c r="F101" s="4">
        <f>803/5</f>
        <v>160.6</v>
      </c>
      <c r="G101" s="4">
        <f>865/5</f>
        <v>173</v>
      </c>
      <c r="H101" s="4">
        <f>663/5</f>
        <v>132.6</v>
      </c>
      <c r="I101" s="4">
        <f>708/5</f>
        <v>141.6</v>
      </c>
      <c r="J101" s="5" t="s">
        <v>52</v>
      </c>
      <c r="K101" s="6" t="s">
        <v>16</v>
      </c>
    </row>
    <row r="102" spans="1:11" x14ac:dyDescent="0.25">
      <c r="A102" s="9" t="s">
        <v>180</v>
      </c>
      <c r="B102" s="2" t="s">
        <v>181</v>
      </c>
      <c r="C102" s="2" t="s">
        <v>23</v>
      </c>
      <c r="D102" s="1">
        <f>221/20</f>
        <v>11.05</v>
      </c>
      <c r="E102" s="4">
        <f>195/20</f>
        <v>9.75</v>
      </c>
      <c r="F102" s="4">
        <f>47/5</f>
        <v>9.4</v>
      </c>
      <c r="G102" s="4">
        <f>36/5</f>
        <v>7.2</v>
      </c>
      <c r="H102" s="4" t="s">
        <v>41</v>
      </c>
      <c r="I102" s="4" t="s">
        <v>41</v>
      </c>
      <c r="J102" s="5" t="s">
        <v>175</v>
      </c>
      <c r="K102" s="4" t="s">
        <v>28</v>
      </c>
    </row>
    <row r="103" spans="1:11" x14ac:dyDescent="0.25">
      <c r="A103" s="9" t="s">
        <v>182</v>
      </c>
      <c r="B103" s="2" t="s">
        <v>22</v>
      </c>
      <c r="C103" s="2" t="s">
        <v>23</v>
      </c>
      <c r="D103" s="4">
        <f>1680/20</f>
        <v>84</v>
      </c>
      <c r="E103" s="4">
        <f>1974/20</f>
        <v>98.7</v>
      </c>
      <c r="F103" s="4">
        <f>280/5</f>
        <v>56</v>
      </c>
      <c r="G103" s="4">
        <f>358/5</f>
        <v>71.599999999999994</v>
      </c>
      <c r="H103" s="4">
        <f>104/5</f>
        <v>20.8</v>
      </c>
      <c r="I103" s="4">
        <f>61/5</f>
        <v>12.2</v>
      </c>
      <c r="J103" s="5" t="s">
        <v>73</v>
      </c>
      <c r="K103" s="4" t="s">
        <v>28</v>
      </c>
    </row>
    <row r="104" spans="1:11" x14ac:dyDescent="0.25">
      <c r="A104" s="9" t="s">
        <v>183</v>
      </c>
      <c r="B104" s="2" t="s">
        <v>40</v>
      </c>
      <c r="C104" s="2" t="s">
        <v>34</v>
      </c>
      <c r="D104" s="4">
        <f>409/20</f>
        <v>20.45</v>
      </c>
      <c r="E104" s="4">
        <f>494/20</f>
        <v>24.7</v>
      </c>
      <c r="F104" s="4">
        <f>45/5</f>
        <v>9</v>
      </c>
      <c r="G104" s="4">
        <f>49/5</f>
        <v>9.8000000000000007</v>
      </c>
      <c r="H104" s="4" t="s">
        <v>41</v>
      </c>
      <c r="I104" s="4" t="s">
        <v>41</v>
      </c>
      <c r="J104" s="5" t="s">
        <v>42</v>
      </c>
      <c r="K104" s="4" t="s">
        <v>28</v>
      </c>
    </row>
    <row r="105" spans="1:11" x14ac:dyDescent="0.25">
      <c r="A105" s="9" t="s">
        <v>184</v>
      </c>
      <c r="B105" s="2" t="s">
        <v>185</v>
      </c>
      <c r="C105" s="2" t="s">
        <v>23</v>
      </c>
      <c r="D105" s="4">
        <f>308/20</f>
        <v>15.4</v>
      </c>
      <c r="E105" s="4">
        <f>406/20</f>
        <v>20.3</v>
      </c>
      <c r="F105" s="4">
        <f>34/5</f>
        <v>6.8</v>
      </c>
      <c r="G105" s="4">
        <f>33/5</f>
        <v>6.6</v>
      </c>
      <c r="H105" s="4">
        <f>35/5</f>
        <v>7</v>
      </c>
      <c r="I105" s="4">
        <f>12/5</f>
        <v>2.4</v>
      </c>
      <c r="J105" s="6" t="s">
        <v>70</v>
      </c>
      <c r="K105" s="6" t="s">
        <v>16</v>
      </c>
    </row>
    <row r="106" spans="1:11" x14ac:dyDescent="0.25">
      <c r="A106" s="9" t="s">
        <v>186</v>
      </c>
      <c r="B106" s="2" t="s">
        <v>44</v>
      </c>
      <c r="C106" s="2" t="s">
        <v>19</v>
      </c>
      <c r="D106" s="4">
        <f>5842/20</f>
        <v>292.10000000000002</v>
      </c>
      <c r="E106" s="4">
        <f>5750/20</f>
        <v>287.5</v>
      </c>
      <c r="F106" s="4">
        <f>1253/5</f>
        <v>250.6</v>
      </c>
      <c r="G106" s="4">
        <f>1105/5</f>
        <v>221</v>
      </c>
      <c r="H106" s="4">
        <f>198/5</f>
        <v>39.6</v>
      </c>
      <c r="I106" s="4">
        <f>187/5</f>
        <v>37.4</v>
      </c>
      <c r="J106" s="5" t="s">
        <v>45</v>
      </c>
      <c r="K106" s="4" t="s">
        <v>28</v>
      </c>
    </row>
    <row r="107" spans="1:11" x14ac:dyDescent="0.25">
      <c r="A107" s="9" t="s">
        <v>187</v>
      </c>
      <c r="B107" s="2" t="s">
        <v>188</v>
      </c>
      <c r="C107" s="2" t="s">
        <v>19</v>
      </c>
      <c r="D107" s="4">
        <f>20425/20</f>
        <v>1021.25</v>
      </c>
      <c r="E107" s="4">
        <f>21424/20</f>
        <v>1071.2</v>
      </c>
      <c r="F107" s="4">
        <f>3803/5</f>
        <v>760.6</v>
      </c>
      <c r="G107" s="4">
        <f>4108/5</f>
        <v>821.6</v>
      </c>
      <c r="H107" s="4">
        <f>1797/5</f>
        <v>359.4</v>
      </c>
      <c r="I107" s="4">
        <f>1872/5</f>
        <v>374.4</v>
      </c>
      <c r="J107" s="2" t="s">
        <v>71</v>
      </c>
      <c r="K107" s="6" t="s">
        <v>16</v>
      </c>
    </row>
    <row r="108" spans="1:11" ht="30" x14ac:dyDescent="0.25">
      <c r="A108" s="9" t="s">
        <v>189</v>
      </c>
      <c r="B108" s="2" t="s">
        <v>128</v>
      </c>
      <c r="C108" s="2" t="s">
        <v>34</v>
      </c>
      <c r="D108" s="4">
        <f>791/20</f>
        <v>39.549999999999997</v>
      </c>
      <c r="E108" s="4">
        <f>800/20</f>
        <v>40</v>
      </c>
      <c r="F108" s="4">
        <f>89/5</f>
        <v>17.8</v>
      </c>
      <c r="G108" s="4">
        <f>99/5</f>
        <v>19.8</v>
      </c>
      <c r="H108" s="4">
        <f>3/5</f>
        <v>0.6</v>
      </c>
      <c r="I108" s="4">
        <f>19/5</f>
        <v>3.8</v>
      </c>
      <c r="J108" s="5" t="s">
        <v>129</v>
      </c>
      <c r="K108" s="4" t="s">
        <v>28</v>
      </c>
    </row>
    <row r="109" spans="1:11" x14ac:dyDescent="0.25">
      <c r="A109" s="9" t="s">
        <v>190</v>
      </c>
      <c r="B109" s="2" t="s">
        <v>191</v>
      </c>
      <c r="C109" s="2" t="s">
        <v>23</v>
      </c>
      <c r="D109" s="1">
        <f>792/20</f>
        <v>39.6</v>
      </c>
      <c r="E109" s="4">
        <f>842/20</f>
        <v>42.1</v>
      </c>
      <c r="F109" s="4">
        <f>130/5</f>
        <v>26</v>
      </c>
      <c r="G109" s="4">
        <f>133/5</f>
        <v>26.6</v>
      </c>
      <c r="H109" s="4" t="s">
        <v>41</v>
      </c>
      <c r="I109" s="4" t="s">
        <v>41</v>
      </c>
      <c r="J109" s="5" t="s">
        <v>175</v>
      </c>
      <c r="K109" s="4" t="s">
        <v>28</v>
      </c>
    </row>
    <row r="110" spans="1:11" ht="60" x14ac:dyDescent="0.25">
      <c r="A110" s="9" t="s">
        <v>192</v>
      </c>
      <c r="B110" s="2" t="s">
        <v>193</v>
      </c>
      <c r="C110" s="2" t="s">
        <v>14</v>
      </c>
      <c r="D110" s="4">
        <f>56281/20</f>
        <v>2814.05</v>
      </c>
      <c r="E110" s="4">
        <f>57450/20</f>
        <v>2872.5</v>
      </c>
      <c r="F110" s="4">
        <f>11272/5</f>
        <v>2254.4</v>
      </c>
      <c r="G110" s="4">
        <f>10994/5</f>
        <v>2198.8000000000002</v>
      </c>
      <c r="H110" s="4">
        <f>7427/5</f>
        <v>1485.4</v>
      </c>
      <c r="I110" s="4">
        <f>7627/5</f>
        <v>1525.4</v>
      </c>
      <c r="J110" s="6" t="s">
        <v>194</v>
      </c>
      <c r="K110" s="6" t="s">
        <v>16</v>
      </c>
    </row>
    <row r="111" spans="1:11" x14ac:dyDescent="0.25">
      <c r="A111" s="9" t="s">
        <v>192</v>
      </c>
      <c r="B111" s="2" t="s">
        <v>193</v>
      </c>
      <c r="C111" s="2" t="s">
        <v>14</v>
      </c>
      <c r="D111" s="4">
        <f>1193/20</f>
        <v>59.65</v>
      </c>
      <c r="E111" s="4">
        <f>3018/20</f>
        <v>150.9</v>
      </c>
      <c r="F111" s="4">
        <f>184/5</f>
        <v>36.799999999999997</v>
      </c>
      <c r="G111" s="4">
        <f>352/5</f>
        <v>70.400000000000006</v>
      </c>
      <c r="H111" s="4" t="s">
        <v>195</v>
      </c>
      <c r="I111" s="4" t="s">
        <v>195</v>
      </c>
      <c r="J111" s="5" t="s">
        <v>31</v>
      </c>
      <c r="K111" s="6" t="s">
        <v>16</v>
      </c>
    </row>
    <row r="112" spans="1:11" x14ac:dyDescent="0.25">
      <c r="A112" s="9" t="s">
        <v>192</v>
      </c>
      <c r="B112" s="2" t="s">
        <v>193</v>
      </c>
      <c r="C112" s="2" t="s">
        <v>14</v>
      </c>
      <c r="D112" s="2">
        <f>49058/20</f>
        <v>2452.9</v>
      </c>
      <c r="E112" s="4">
        <f>47293/20</f>
        <v>2364.65</v>
      </c>
      <c r="F112" s="4">
        <f>9566/5</f>
        <v>1913.2</v>
      </c>
      <c r="G112" s="4">
        <f>8649/5</f>
        <v>1729.8</v>
      </c>
      <c r="H112" s="4">
        <f>4882/5</f>
        <v>976.4</v>
      </c>
      <c r="I112" s="4">
        <f>5399/5</f>
        <v>1079.8</v>
      </c>
      <c r="J112" s="7" t="s">
        <v>83</v>
      </c>
      <c r="K112" s="6" t="s">
        <v>16</v>
      </c>
    </row>
    <row r="113" spans="1:11" x14ac:dyDescent="0.25">
      <c r="A113" s="9" t="s">
        <v>192</v>
      </c>
      <c r="B113" s="2" t="s">
        <v>193</v>
      </c>
      <c r="C113" s="2" t="s">
        <v>14</v>
      </c>
      <c r="D113" s="4">
        <f>6030/20</f>
        <v>301.5</v>
      </c>
      <c r="E113" s="4">
        <f>7139/20</f>
        <v>356.95</v>
      </c>
      <c r="F113" s="4">
        <f>1522/5</f>
        <v>304.39999999999998</v>
      </c>
      <c r="G113" s="4">
        <f>1993/5</f>
        <v>398.6</v>
      </c>
      <c r="H113" s="4">
        <f>2545/5</f>
        <v>509</v>
      </c>
      <c r="I113" s="4">
        <f>2228/5</f>
        <v>445.6</v>
      </c>
      <c r="J113" s="5" t="s">
        <v>100</v>
      </c>
      <c r="K113" s="6" t="s">
        <v>16</v>
      </c>
    </row>
    <row r="114" spans="1:11" x14ac:dyDescent="0.25">
      <c r="A114" s="9" t="s">
        <v>196</v>
      </c>
      <c r="B114" s="2" t="s">
        <v>197</v>
      </c>
      <c r="C114" s="2" t="s">
        <v>198</v>
      </c>
      <c r="D114" s="4">
        <f>383/20</f>
        <v>19.149999999999999</v>
      </c>
      <c r="E114" s="4">
        <f>397/20</f>
        <v>19.850000000000001</v>
      </c>
      <c r="F114" s="4">
        <f>66/5</f>
        <v>13.2</v>
      </c>
      <c r="G114" s="4">
        <f>40/5</f>
        <v>8</v>
      </c>
      <c r="H114" s="4" t="s">
        <v>41</v>
      </c>
      <c r="I114" s="4" t="s">
        <v>41</v>
      </c>
      <c r="J114" s="5" t="s">
        <v>88</v>
      </c>
      <c r="K114" s="4" t="s">
        <v>28</v>
      </c>
    </row>
    <row r="115" spans="1:11" ht="75" x14ac:dyDescent="0.25">
      <c r="A115" s="9" t="s">
        <v>199</v>
      </c>
      <c r="B115" s="2" t="s">
        <v>181</v>
      </c>
      <c r="C115" s="2" t="s">
        <v>23</v>
      </c>
      <c r="D115" s="4">
        <f>137940/20</f>
        <v>6897</v>
      </c>
      <c r="E115" s="4">
        <f>128002/20</f>
        <v>6400.1</v>
      </c>
      <c r="F115" s="4">
        <f>22668/5</f>
        <v>4533.6000000000004</v>
      </c>
      <c r="G115" s="4">
        <f>22464/5</f>
        <v>4492.8</v>
      </c>
      <c r="H115" s="4">
        <f>15304/5</f>
        <v>3060.8</v>
      </c>
      <c r="I115" s="4">
        <f>15131/5</f>
        <v>3026.2</v>
      </c>
      <c r="J115" s="6" t="s">
        <v>200</v>
      </c>
      <c r="K115" s="6" t="s">
        <v>16</v>
      </c>
    </row>
    <row r="116" spans="1:11" x14ac:dyDescent="0.25">
      <c r="A116" s="9" t="s">
        <v>199</v>
      </c>
      <c r="B116" s="2" t="s">
        <v>181</v>
      </c>
      <c r="C116" s="2" t="s">
        <v>23</v>
      </c>
      <c r="D116" s="4">
        <f>101961/20</f>
        <v>5098.05</v>
      </c>
      <c r="E116" s="4">
        <f>99000/20</f>
        <v>4950</v>
      </c>
      <c r="F116" s="4">
        <f>17855/5</f>
        <v>3571</v>
      </c>
      <c r="G116" s="4">
        <f>17460/5</f>
        <v>3492</v>
      </c>
      <c r="H116" s="4">
        <f>13452/5</f>
        <v>2690.4</v>
      </c>
      <c r="I116" s="4">
        <f>12861/5</f>
        <v>2572.1999999999998</v>
      </c>
      <c r="J116" s="5" t="s">
        <v>201</v>
      </c>
      <c r="K116" s="6" t="s">
        <v>16</v>
      </c>
    </row>
    <row r="117" spans="1:11" x14ac:dyDescent="0.25">
      <c r="A117" s="9" t="s">
        <v>199</v>
      </c>
      <c r="B117" s="2" t="s">
        <v>181</v>
      </c>
      <c r="C117" s="2" t="s">
        <v>23</v>
      </c>
      <c r="D117" s="4">
        <f>8351/20</f>
        <v>417.55</v>
      </c>
      <c r="E117" s="4">
        <f>4669/20</f>
        <v>233.45</v>
      </c>
      <c r="F117" s="4">
        <f>1233/5</f>
        <v>246.6</v>
      </c>
      <c r="G117" s="4">
        <f>1201/5</f>
        <v>240.2</v>
      </c>
      <c r="H117" s="4" t="s">
        <v>195</v>
      </c>
      <c r="I117" s="4" t="s">
        <v>195</v>
      </c>
      <c r="J117" s="5" t="s">
        <v>202</v>
      </c>
      <c r="K117" s="6" t="s">
        <v>16</v>
      </c>
    </row>
    <row r="118" spans="1:11" x14ac:dyDescent="0.25">
      <c r="A118" s="9" t="s">
        <v>199</v>
      </c>
      <c r="B118" s="2" t="s">
        <v>181</v>
      </c>
      <c r="C118" s="2" t="s">
        <v>23</v>
      </c>
      <c r="D118" s="4">
        <f>21179/20</f>
        <v>1058.95</v>
      </c>
      <c r="E118" s="4">
        <f>18431/20</f>
        <v>921.55</v>
      </c>
      <c r="F118" s="4">
        <f>2548/5</f>
        <v>509.6</v>
      </c>
      <c r="G118" s="4">
        <f>2810/5</f>
        <v>562</v>
      </c>
      <c r="H118" s="4">
        <f>1852/5</f>
        <v>370.4</v>
      </c>
      <c r="I118" s="4">
        <f>2270/5</f>
        <v>454</v>
      </c>
      <c r="J118" s="5" t="s">
        <v>15</v>
      </c>
      <c r="K118" s="6" t="s">
        <v>16</v>
      </c>
    </row>
    <row r="119" spans="1:11" x14ac:dyDescent="0.25">
      <c r="A119" s="9" t="s">
        <v>199</v>
      </c>
      <c r="B119" s="2" t="s">
        <v>181</v>
      </c>
      <c r="C119" s="2" t="s">
        <v>23</v>
      </c>
      <c r="D119" s="4">
        <f>6449/20</f>
        <v>322.45</v>
      </c>
      <c r="E119" s="4">
        <f>5902/20</f>
        <v>295.10000000000002</v>
      </c>
      <c r="F119" s="4">
        <f>1032/5</f>
        <v>206.4</v>
      </c>
      <c r="G119" s="4">
        <f>993/5</f>
        <v>198.6</v>
      </c>
      <c r="H119" s="4" t="s">
        <v>195</v>
      </c>
      <c r="I119" s="4" t="s">
        <v>195</v>
      </c>
      <c r="J119" s="5" t="s">
        <v>203</v>
      </c>
      <c r="K119" s="6" t="s">
        <v>16</v>
      </c>
    </row>
    <row r="120" spans="1:11" x14ac:dyDescent="0.25">
      <c r="A120" s="9" t="s">
        <v>204</v>
      </c>
      <c r="B120" s="2" t="s">
        <v>181</v>
      </c>
      <c r="C120" s="2" t="s">
        <v>23</v>
      </c>
      <c r="D120" s="1">
        <f>30/20</f>
        <v>1.5</v>
      </c>
      <c r="E120" s="4">
        <f>113/20</f>
        <v>5.65</v>
      </c>
      <c r="F120" s="4">
        <f>6/5</f>
        <v>1.2</v>
      </c>
      <c r="G120" s="4">
        <f>8/5</f>
        <v>1.6</v>
      </c>
      <c r="H120" s="4" t="s">
        <v>41</v>
      </c>
      <c r="I120" s="4" t="s">
        <v>41</v>
      </c>
      <c r="J120" s="5" t="s">
        <v>175</v>
      </c>
      <c r="K120" s="4" t="s">
        <v>28</v>
      </c>
    </row>
    <row r="121" spans="1:11" x14ac:dyDescent="0.25">
      <c r="A121" s="9" t="s">
        <v>205</v>
      </c>
      <c r="B121" s="2" t="s">
        <v>181</v>
      </c>
      <c r="C121" s="2" t="s">
        <v>23</v>
      </c>
      <c r="D121" s="1">
        <f>689/20</f>
        <v>34.450000000000003</v>
      </c>
      <c r="E121" s="4">
        <f>1721/20</f>
        <v>86.05</v>
      </c>
      <c r="F121" s="4">
        <f>51/5</f>
        <v>10.199999999999999</v>
      </c>
      <c r="G121" s="4">
        <f>71/5</f>
        <v>14.2</v>
      </c>
      <c r="H121" s="4" t="s">
        <v>41</v>
      </c>
      <c r="I121" s="4" t="s">
        <v>41</v>
      </c>
      <c r="J121" s="5" t="s">
        <v>175</v>
      </c>
      <c r="K121" s="4" t="s">
        <v>28</v>
      </c>
    </row>
    <row r="122" spans="1:11" x14ac:dyDescent="0.25">
      <c r="A122" s="9" t="s">
        <v>206</v>
      </c>
      <c r="B122" s="2" t="s">
        <v>181</v>
      </c>
      <c r="C122" s="2" t="s">
        <v>23</v>
      </c>
      <c r="D122" s="1">
        <f>329/20</f>
        <v>16.45</v>
      </c>
      <c r="E122" s="4">
        <f>1890/20</f>
        <v>94.5</v>
      </c>
      <c r="F122" s="4">
        <f>54/5</f>
        <v>10.8</v>
      </c>
      <c r="G122" s="4">
        <f>222/5</f>
        <v>44.4</v>
      </c>
      <c r="H122" s="4" t="s">
        <v>41</v>
      </c>
      <c r="I122" s="4" t="s">
        <v>41</v>
      </c>
      <c r="J122" s="5" t="s">
        <v>175</v>
      </c>
      <c r="K122" s="4" t="s">
        <v>28</v>
      </c>
    </row>
    <row r="123" spans="1:11" ht="60" x14ac:dyDescent="0.25">
      <c r="A123" s="9" t="s">
        <v>207</v>
      </c>
      <c r="B123" s="2" t="s">
        <v>151</v>
      </c>
      <c r="C123" s="2" t="s">
        <v>106</v>
      </c>
      <c r="D123" s="4">
        <f>57644/20</f>
        <v>2882.2</v>
      </c>
      <c r="E123" s="4">
        <f>59597/20</f>
        <v>2979.85</v>
      </c>
      <c r="F123" s="4">
        <f>12099/5</f>
        <v>2419.8000000000002</v>
      </c>
      <c r="G123" s="4">
        <f>12373/5</f>
        <v>2474.6</v>
      </c>
      <c r="H123" s="4">
        <f>7177/5</f>
        <v>1435.4</v>
      </c>
      <c r="I123" s="4">
        <f>7598/5</f>
        <v>1519.6</v>
      </c>
      <c r="J123" s="5" t="s">
        <v>208</v>
      </c>
      <c r="K123" s="6" t="s">
        <v>16</v>
      </c>
    </row>
    <row r="124" spans="1:11" x14ac:dyDescent="0.25">
      <c r="A124" s="9" t="s">
        <v>207</v>
      </c>
      <c r="B124" s="2" t="s">
        <v>151</v>
      </c>
      <c r="C124" s="2" t="s">
        <v>106</v>
      </c>
      <c r="D124" s="4">
        <f>36997/20+62</f>
        <v>1911.85</v>
      </c>
      <c r="E124" s="4">
        <f>37189/20+85</f>
        <v>1944.45</v>
      </c>
      <c r="F124" s="4">
        <f>7727/5+100</f>
        <v>1645.4</v>
      </c>
      <c r="G124" s="4">
        <f>8301/5+69</f>
        <v>1729.2</v>
      </c>
      <c r="H124" s="4">
        <f>5013/5+97+2</f>
        <v>1101.5999999999999</v>
      </c>
      <c r="I124" s="4">
        <f>5734/5+84+0</f>
        <v>1230.8</v>
      </c>
      <c r="J124" s="5" t="s">
        <v>20</v>
      </c>
      <c r="K124" s="6" t="s">
        <v>16</v>
      </c>
    </row>
    <row r="125" spans="1:11" x14ac:dyDescent="0.25">
      <c r="A125" s="9" t="s">
        <v>207</v>
      </c>
      <c r="B125" s="2" t="s">
        <v>151</v>
      </c>
      <c r="C125" s="2" t="s">
        <v>106</v>
      </c>
      <c r="D125" s="2">
        <f>4920/20</f>
        <v>246</v>
      </c>
      <c r="E125" s="4">
        <f>5465/20</f>
        <v>273.25</v>
      </c>
      <c r="F125" s="4">
        <f>829/5</f>
        <v>165.8</v>
      </c>
      <c r="G125" s="4">
        <f>897/5</f>
        <v>179.4</v>
      </c>
      <c r="H125" s="4">
        <f>129/5</f>
        <v>25.8</v>
      </c>
      <c r="I125" s="4">
        <f>141/5</f>
        <v>28.2</v>
      </c>
      <c r="J125" s="2" t="s">
        <v>107</v>
      </c>
      <c r="K125" s="6" t="s">
        <v>16</v>
      </c>
    </row>
    <row r="126" spans="1:11" x14ac:dyDescent="0.25">
      <c r="A126" s="9" t="s">
        <v>207</v>
      </c>
      <c r="B126" s="2" t="s">
        <v>151</v>
      </c>
      <c r="C126" s="2" t="s">
        <v>106</v>
      </c>
      <c r="D126" s="4">
        <f>14482/20</f>
        <v>724.1</v>
      </c>
      <c r="E126" s="4">
        <f>15243/20</f>
        <v>762.15</v>
      </c>
      <c r="F126" s="4">
        <f>3042/5</f>
        <v>608.4</v>
      </c>
      <c r="G126" s="4">
        <f>2830/5</f>
        <v>566</v>
      </c>
      <c r="H126" s="4">
        <f>1536/5</f>
        <v>307.2</v>
      </c>
      <c r="I126" s="4">
        <f>1306/5</f>
        <v>261.2</v>
      </c>
      <c r="J126" s="5" t="s">
        <v>209</v>
      </c>
      <c r="K126" s="6" t="s">
        <v>16</v>
      </c>
    </row>
    <row r="127" spans="1:11" x14ac:dyDescent="0.25">
      <c r="A127" s="9" t="s">
        <v>210</v>
      </c>
      <c r="B127" s="2" t="s">
        <v>211</v>
      </c>
      <c r="C127" s="2" t="s">
        <v>26</v>
      </c>
      <c r="D127" s="4">
        <f>1352/20</f>
        <v>67.599999999999994</v>
      </c>
      <c r="E127" s="4">
        <f>1639/20</f>
        <v>81.95</v>
      </c>
      <c r="F127" s="4">
        <f>140/5</f>
        <v>28</v>
      </c>
      <c r="G127" s="4">
        <f>159/5</f>
        <v>31.8</v>
      </c>
      <c r="H127" s="4">
        <f>30/5</f>
        <v>6</v>
      </c>
      <c r="I127" s="4">
        <f>16/5</f>
        <v>3.2</v>
      </c>
      <c r="J127" s="5" t="s">
        <v>27</v>
      </c>
      <c r="K127" s="4" t="s">
        <v>28</v>
      </c>
    </row>
    <row r="128" spans="1:11" x14ac:dyDescent="0.25">
      <c r="A128" s="9" t="s">
        <v>212</v>
      </c>
      <c r="B128" s="2" t="s">
        <v>213</v>
      </c>
      <c r="C128" s="2" t="s">
        <v>112</v>
      </c>
      <c r="D128" s="4">
        <f>20057/20</f>
        <v>1002.85</v>
      </c>
      <c r="E128" s="4">
        <f>22932/20</f>
        <v>1146.5999999999999</v>
      </c>
      <c r="F128" s="4">
        <f>3746/5</f>
        <v>749.2</v>
      </c>
      <c r="G128" s="4">
        <f>4204/5</f>
        <v>840.8</v>
      </c>
      <c r="H128" s="2">
        <f>2505/5</f>
        <v>501</v>
      </c>
      <c r="I128" s="4">
        <f>3134/5</f>
        <v>626.79999999999995</v>
      </c>
      <c r="J128" s="5" t="s">
        <v>20</v>
      </c>
      <c r="K128" s="6" t="s">
        <v>16</v>
      </c>
    </row>
    <row r="129" spans="1:11" x14ac:dyDescent="0.25">
      <c r="A129" s="9" t="s">
        <v>214</v>
      </c>
      <c r="B129" s="2" t="s">
        <v>99</v>
      </c>
      <c r="C129" s="2" t="s">
        <v>14</v>
      </c>
      <c r="D129" s="4">
        <f>839/20</f>
        <v>41.95</v>
      </c>
      <c r="E129" s="4">
        <f>964/20</f>
        <v>48.2</v>
      </c>
      <c r="F129" s="4">
        <f>185/5</f>
        <v>37</v>
      </c>
      <c r="G129" s="4">
        <f>152/5</f>
        <v>30.4</v>
      </c>
      <c r="H129" s="4">
        <f>102/5</f>
        <v>20.399999999999999</v>
      </c>
      <c r="I129" s="4">
        <f>89/5</f>
        <v>17.8</v>
      </c>
      <c r="J129" s="5" t="s">
        <v>100</v>
      </c>
      <c r="K129" s="6" t="s">
        <v>16</v>
      </c>
    </row>
    <row r="130" spans="1:11" x14ac:dyDescent="0.25">
      <c r="A130" s="9" t="s">
        <v>215</v>
      </c>
      <c r="B130" s="2" t="s">
        <v>216</v>
      </c>
      <c r="C130" s="2" t="s">
        <v>161</v>
      </c>
      <c r="D130" s="4">
        <f>68940/20</f>
        <v>3447</v>
      </c>
      <c r="E130" s="4">
        <f>62959/20</f>
        <v>3147.95</v>
      </c>
      <c r="F130" s="4">
        <f>12190/5</f>
        <v>2438</v>
      </c>
      <c r="G130" s="4">
        <f>11418/5</f>
        <v>2283.6</v>
      </c>
      <c r="H130" s="4">
        <f>6081/5</f>
        <v>1216.2</v>
      </c>
      <c r="I130" s="4">
        <f>7057/5</f>
        <v>1411.4</v>
      </c>
      <c r="J130" s="7" t="s">
        <v>83</v>
      </c>
      <c r="K130" s="6" t="s">
        <v>16</v>
      </c>
    </row>
    <row r="131" spans="1:11" x14ac:dyDescent="0.25">
      <c r="A131" s="9" t="s">
        <v>217</v>
      </c>
      <c r="B131" s="2" t="s">
        <v>218</v>
      </c>
      <c r="C131" s="2" t="s">
        <v>161</v>
      </c>
      <c r="D131" s="4">
        <f>4311/20</f>
        <v>215.55</v>
      </c>
      <c r="E131" s="4">
        <f>4544/20</f>
        <v>227.2</v>
      </c>
      <c r="F131" s="4">
        <f>638/5</f>
        <v>127.6</v>
      </c>
      <c r="G131" s="4">
        <f>728/5</f>
        <v>145.6</v>
      </c>
      <c r="H131" s="4">
        <f>382/5</f>
        <v>76.400000000000006</v>
      </c>
      <c r="I131" s="4">
        <f>474/5</f>
        <v>94.8</v>
      </c>
      <c r="J131" s="7" t="s">
        <v>83</v>
      </c>
      <c r="K131" s="6" t="s">
        <v>16</v>
      </c>
    </row>
    <row r="132" spans="1:11" x14ac:dyDescent="0.25">
      <c r="A132" s="9" t="s">
        <v>219</v>
      </c>
      <c r="B132" s="2" t="s">
        <v>54</v>
      </c>
      <c r="C132" s="2" t="s">
        <v>26</v>
      </c>
      <c r="D132" s="4">
        <f>8825/20</f>
        <v>441.25</v>
      </c>
      <c r="E132" s="4">
        <f>7694/20</f>
        <v>384.7</v>
      </c>
      <c r="F132" s="4">
        <f>1860/5</f>
        <v>372</v>
      </c>
      <c r="G132" s="4">
        <f>1637/5</f>
        <v>327.39999999999998</v>
      </c>
      <c r="H132" s="4">
        <f>181/5</f>
        <v>36.200000000000003</v>
      </c>
      <c r="I132" s="4">
        <f>278/5</f>
        <v>55.6</v>
      </c>
      <c r="J132" s="5" t="s">
        <v>27</v>
      </c>
      <c r="K132" s="4" t="s">
        <v>28</v>
      </c>
    </row>
    <row r="133" spans="1:11" x14ac:dyDescent="0.25">
      <c r="A133" s="9" t="s">
        <v>220</v>
      </c>
      <c r="B133" s="2" t="s">
        <v>221</v>
      </c>
      <c r="C133" s="2" t="s">
        <v>106</v>
      </c>
      <c r="D133" s="4">
        <f>7053/20</f>
        <v>352.65</v>
      </c>
      <c r="E133" s="4">
        <f>7642/20</f>
        <v>382.1</v>
      </c>
      <c r="F133" s="4">
        <f>1384/5</f>
        <v>276.8</v>
      </c>
      <c r="G133" s="4">
        <f>1355/5</f>
        <v>271</v>
      </c>
      <c r="H133" s="4">
        <f>1007/5</f>
        <v>201.4</v>
      </c>
      <c r="I133" s="4">
        <f>1111/5</f>
        <v>222.2</v>
      </c>
      <c r="J133" s="5" t="s">
        <v>52</v>
      </c>
      <c r="K133" s="6" t="s">
        <v>16</v>
      </c>
    </row>
    <row r="134" spans="1:11" x14ac:dyDescent="0.25">
      <c r="A134" s="9" t="s">
        <v>222</v>
      </c>
      <c r="B134" s="2" t="s">
        <v>223</v>
      </c>
      <c r="C134" s="2" t="s">
        <v>19</v>
      </c>
      <c r="D134" s="4">
        <f>7389/20</f>
        <v>369.45</v>
      </c>
      <c r="E134" s="4">
        <f>8906/20</f>
        <v>445.3</v>
      </c>
      <c r="F134" s="4">
        <f>951/5</f>
        <v>190.2</v>
      </c>
      <c r="G134" s="4">
        <f>915/5</f>
        <v>183</v>
      </c>
      <c r="H134" s="4">
        <f>334/5</f>
        <v>66.8</v>
      </c>
      <c r="I134" s="4">
        <f>415/5</f>
        <v>83</v>
      </c>
      <c r="J134" s="6" t="s">
        <v>70</v>
      </c>
      <c r="K134" s="6" t="s">
        <v>16</v>
      </c>
    </row>
    <row r="135" spans="1:11" x14ac:dyDescent="0.25">
      <c r="A135" s="9" t="s">
        <v>224</v>
      </c>
      <c r="B135" s="2" t="s">
        <v>181</v>
      </c>
      <c r="C135" s="2" t="s">
        <v>23</v>
      </c>
      <c r="D135" s="4">
        <f>90/20</f>
        <v>4.5</v>
      </c>
      <c r="E135" s="4">
        <f>57/20</f>
        <v>2.85</v>
      </c>
      <c r="F135" s="4">
        <f>3/5</f>
        <v>0.6</v>
      </c>
      <c r="G135" s="4">
        <f>5/5</f>
        <v>1</v>
      </c>
      <c r="H135" s="4">
        <f>15/5</f>
        <v>3</v>
      </c>
      <c r="I135" s="4">
        <f>8/5</f>
        <v>1.6</v>
      </c>
      <c r="J135" s="5" t="s">
        <v>15</v>
      </c>
      <c r="K135" s="6" t="s">
        <v>16</v>
      </c>
    </row>
    <row r="136" spans="1:11" x14ac:dyDescent="0.25">
      <c r="A136" s="9" t="s">
        <v>225</v>
      </c>
      <c r="B136" s="2" t="s">
        <v>226</v>
      </c>
      <c r="C136" s="2" t="s">
        <v>19</v>
      </c>
      <c r="D136" s="4">
        <f>6279/20</f>
        <v>313.95</v>
      </c>
      <c r="E136" s="4">
        <f>7357/20</f>
        <v>367.85</v>
      </c>
      <c r="F136" s="4">
        <f>1045/5</f>
        <v>209</v>
      </c>
      <c r="G136" s="4">
        <f>1169/5</f>
        <v>233.8</v>
      </c>
      <c r="H136" s="4">
        <f>497/5</f>
        <v>99.4</v>
      </c>
      <c r="I136" s="4">
        <f>475/5</f>
        <v>95</v>
      </c>
      <c r="J136" s="6" t="s">
        <v>70</v>
      </c>
      <c r="K136" s="6" t="s">
        <v>16</v>
      </c>
    </row>
    <row r="137" spans="1:11" x14ac:dyDescent="0.25">
      <c r="A137" s="9" t="s">
        <v>227</v>
      </c>
      <c r="B137" s="2" t="s">
        <v>228</v>
      </c>
      <c r="C137" s="2" t="s">
        <v>161</v>
      </c>
      <c r="D137" s="4">
        <f>7896/20</f>
        <v>394.8</v>
      </c>
      <c r="E137" s="4">
        <f>8583/20</f>
        <v>429.15</v>
      </c>
      <c r="F137" s="4">
        <f>1496/5</f>
        <v>299.2</v>
      </c>
      <c r="G137" s="4">
        <f>1543/5</f>
        <v>308.60000000000002</v>
      </c>
      <c r="H137" s="4">
        <f>440/5</f>
        <v>88</v>
      </c>
      <c r="I137" s="4">
        <f>423/5</f>
        <v>84.6</v>
      </c>
      <c r="J137" s="7" t="s">
        <v>83</v>
      </c>
      <c r="K137" s="6" t="s">
        <v>16</v>
      </c>
    </row>
    <row r="138" spans="1:11" x14ac:dyDescent="0.25">
      <c r="A138" s="9" t="s">
        <v>229</v>
      </c>
      <c r="B138" s="2" t="s">
        <v>230</v>
      </c>
      <c r="C138" s="2" t="s">
        <v>161</v>
      </c>
      <c r="D138" s="4">
        <f>3170/20</f>
        <v>158.5</v>
      </c>
      <c r="E138" s="4">
        <f>3880/20</f>
        <v>194</v>
      </c>
      <c r="F138" s="4">
        <f>715/5</f>
        <v>143</v>
      </c>
      <c r="G138" s="4">
        <f>988/5</f>
        <v>197.6</v>
      </c>
      <c r="H138" s="4">
        <f>594/5</f>
        <v>118.8</v>
      </c>
      <c r="I138" s="4">
        <f>745/5</f>
        <v>149</v>
      </c>
      <c r="J138" s="6" t="s">
        <v>31</v>
      </c>
      <c r="K138" s="6" t="s">
        <v>16</v>
      </c>
    </row>
    <row r="139" spans="1:11" x14ac:dyDescent="0.25">
      <c r="A139" s="9" t="s">
        <v>231</v>
      </c>
      <c r="B139" s="2" t="s">
        <v>30</v>
      </c>
      <c r="C139" s="2" t="s">
        <v>14</v>
      </c>
      <c r="D139" s="4">
        <f>39/20</f>
        <v>1.95</v>
      </c>
      <c r="E139" s="4">
        <f>68/20</f>
        <v>3.4</v>
      </c>
      <c r="F139" s="4">
        <f>12/5</f>
        <v>2.4</v>
      </c>
      <c r="G139" s="4">
        <f>13/5</f>
        <v>2.6</v>
      </c>
      <c r="H139" s="4">
        <f>2/5</f>
        <v>0.4</v>
      </c>
      <c r="I139" s="4">
        <f>2/5</f>
        <v>0.4</v>
      </c>
      <c r="J139" s="5" t="s">
        <v>15</v>
      </c>
      <c r="K139" s="6" t="s">
        <v>16</v>
      </c>
    </row>
    <row r="140" spans="1:11" x14ac:dyDescent="0.25">
      <c r="A140" s="9" t="s">
        <v>232</v>
      </c>
      <c r="B140" s="2" t="s">
        <v>172</v>
      </c>
      <c r="C140" s="2" t="s">
        <v>14</v>
      </c>
      <c r="D140" s="4">
        <f>2678/20</f>
        <v>133.9</v>
      </c>
      <c r="E140" s="4">
        <f>2732/20</f>
        <v>136.6</v>
      </c>
      <c r="F140" s="4">
        <f>479/5</f>
        <v>95.8</v>
      </c>
      <c r="G140" s="4">
        <f>602/5</f>
        <v>120.4</v>
      </c>
      <c r="H140" s="4">
        <f>233/5</f>
        <v>46.6</v>
      </c>
      <c r="I140" s="4">
        <f>355/5</f>
        <v>71</v>
      </c>
      <c r="J140" s="6" t="s">
        <v>31</v>
      </c>
      <c r="K140" s="6" t="s">
        <v>16</v>
      </c>
    </row>
    <row r="141" spans="1:11" x14ac:dyDescent="0.25">
      <c r="A141" s="9" t="s">
        <v>233</v>
      </c>
      <c r="B141" s="2" t="s">
        <v>193</v>
      </c>
      <c r="C141" s="2" t="s">
        <v>14</v>
      </c>
      <c r="D141" s="4">
        <f>484/20</f>
        <v>24.2</v>
      </c>
      <c r="E141" s="4">
        <f>385/20</f>
        <v>19.25</v>
      </c>
      <c r="F141" s="4">
        <f>71/5</f>
        <v>14.2</v>
      </c>
      <c r="G141" s="4">
        <f>65/5</f>
        <v>13</v>
      </c>
      <c r="H141" s="4" t="s">
        <v>41</v>
      </c>
      <c r="I141" s="4" t="s">
        <v>41</v>
      </c>
      <c r="J141" s="6" t="s">
        <v>31</v>
      </c>
      <c r="K141" s="6" t="s">
        <v>16</v>
      </c>
    </row>
    <row r="142" spans="1:11" x14ac:dyDescent="0.25">
      <c r="A142" s="9" t="s">
        <v>234</v>
      </c>
      <c r="B142" s="2" t="s">
        <v>235</v>
      </c>
      <c r="C142" s="2" t="s">
        <v>19</v>
      </c>
      <c r="D142" s="4">
        <f>4185/20</f>
        <v>209.25</v>
      </c>
      <c r="E142" s="4">
        <f>4821/20</f>
        <v>241.05</v>
      </c>
      <c r="F142" s="4">
        <f>416/5</f>
        <v>83.2</v>
      </c>
      <c r="G142" s="4">
        <f>579/5</f>
        <v>115.8</v>
      </c>
      <c r="H142" s="4">
        <f>244/5</f>
        <v>48.8</v>
      </c>
      <c r="I142" s="4">
        <f>357/5</f>
        <v>71.400000000000006</v>
      </c>
      <c r="J142" s="5" t="s">
        <v>69</v>
      </c>
      <c r="K142" s="6" t="s">
        <v>16</v>
      </c>
    </row>
    <row r="143" spans="1:11" x14ac:dyDescent="0.25">
      <c r="A143" s="9" t="s">
        <v>236</v>
      </c>
      <c r="B143" s="2" t="s">
        <v>237</v>
      </c>
      <c r="C143" s="2" t="s">
        <v>34</v>
      </c>
      <c r="D143" s="4">
        <f>1481/20</f>
        <v>74.05</v>
      </c>
      <c r="E143" s="4">
        <f>1524/20</f>
        <v>76.2</v>
      </c>
      <c r="F143" s="4">
        <f>199/5</f>
        <v>39.799999999999997</v>
      </c>
      <c r="G143" s="4">
        <f>151/5</f>
        <v>30.2</v>
      </c>
      <c r="H143" s="4" t="s">
        <v>41</v>
      </c>
      <c r="I143" s="4" t="s">
        <v>41</v>
      </c>
      <c r="J143" s="5" t="s">
        <v>91</v>
      </c>
      <c r="K143" s="4" t="s">
        <v>28</v>
      </c>
    </row>
    <row r="144" spans="1:11" x14ac:dyDescent="0.25">
      <c r="A144" s="9" t="s">
        <v>238</v>
      </c>
      <c r="B144" s="2" t="s">
        <v>239</v>
      </c>
      <c r="C144" s="2" t="s">
        <v>19</v>
      </c>
      <c r="D144" s="4">
        <f>874/20</f>
        <v>43.7</v>
      </c>
      <c r="E144" s="4">
        <f>806/20</f>
        <v>40.299999999999997</v>
      </c>
      <c r="F144" s="4">
        <f>158/5</f>
        <v>31.6</v>
      </c>
      <c r="G144" s="4">
        <f>123/5</f>
        <v>24.6</v>
      </c>
      <c r="H144" s="4">
        <f>43/5</f>
        <v>8.6</v>
      </c>
      <c r="I144" s="4">
        <f>22/5</f>
        <v>4.4000000000000004</v>
      </c>
      <c r="J144" s="5" t="s">
        <v>73</v>
      </c>
      <c r="K144" s="4" t="s">
        <v>28</v>
      </c>
    </row>
    <row r="145" spans="1:11" ht="45" x14ac:dyDescent="0.25">
      <c r="A145" s="9" t="s">
        <v>240</v>
      </c>
      <c r="B145" s="2" t="s">
        <v>241</v>
      </c>
      <c r="C145" s="2" t="s">
        <v>34</v>
      </c>
      <c r="D145" s="4">
        <f>13877/20</f>
        <v>693.85</v>
      </c>
      <c r="E145" s="4">
        <f>14110/20</f>
        <v>705.5</v>
      </c>
      <c r="F145" s="4">
        <f>2484/5</f>
        <v>496.8</v>
      </c>
      <c r="G145" s="4">
        <f>2378/5</f>
        <v>475.6</v>
      </c>
      <c r="H145" s="4">
        <f>20/5</f>
        <v>4</v>
      </c>
      <c r="I145" s="4">
        <f>111/5</f>
        <v>22.2</v>
      </c>
      <c r="J145" s="5" t="s">
        <v>242</v>
      </c>
      <c r="K145" s="4" t="s">
        <v>28</v>
      </c>
    </row>
    <row r="146" spans="1:11" x14ac:dyDescent="0.25">
      <c r="A146" s="9" t="s">
        <v>240</v>
      </c>
      <c r="B146" s="2" t="s">
        <v>241</v>
      </c>
      <c r="C146" s="2" t="s">
        <v>34</v>
      </c>
      <c r="D146" s="4">
        <f>7871/20</f>
        <v>393.55</v>
      </c>
      <c r="E146" s="4">
        <f>8380/20</f>
        <v>419</v>
      </c>
      <c r="F146" s="4">
        <f>1158/5</f>
        <v>231.6</v>
      </c>
      <c r="G146" s="4">
        <f>1170/5</f>
        <v>234</v>
      </c>
      <c r="H146" s="4" t="s">
        <v>195</v>
      </c>
      <c r="I146" s="4" t="s">
        <v>195</v>
      </c>
      <c r="J146" s="5" t="s">
        <v>91</v>
      </c>
      <c r="K146" s="4" t="s">
        <v>28</v>
      </c>
    </row>
    <row r="147" spans="1:11" x14ac:dyDescent="0.25">
      <c r="A147" s="9" t="s">
        <v>240</v>
      </c>
      <c r="B147" s="2" t="s">
        <v>241</v>
      </c>
      <c r="C147" s="2" t="s">
        <v>34</v>
      </c>
      <c r="D147" s="4">
        <f>6006/20</f>
        <v>300.3</v>
      </c>
      <c r="E147" s="4">
        <f>5730/20</f>
        <v>286.5</v>
      </c>
      <c r="F147" s="4">
        <f>1326/5</f>
        <v>265.2</v>
      </c>
      <c r="G147" s="4">
        <f>1208/5</f>
        <v>241.6</v>
      </c>
      <c r="H147" s="4">
        <f>20/5</f>
        <v>4</v>
      </c>
      <c r="I147" s="4">
        <f>111/5</f>
        <v>22.2</v>
      </c>
      <c r="J147" s="5" t="s">
        <v>35</v>
      </c>
      <c r="K147" s="4" t="s">
        <v>28</v>
      </c>
    </row>
    <row r="148" spans="1:11" x14ac:dyDescent="0.25">
      <c r="A148" s="9" t="s">
        <v>243</v>
      </c>
      <c r="B148" s="2" t="s">
        <v>47</v>
      </c>
      <c r="C148" s="2" t="s">
        <v>48</v>
      </c>
      <c r="D148" s="4">
        <f>2380/20</f>
        <v>119</v>
      </c>
      <c r="E148" s="4">
        <f>3191/20</f>
        <v>159.55000000000001</v>
      </c>
      <c r="F148" s="4">
        <f>527/5</f>
        <v>105.4</v>
      </c>
      <c r="G148" s="4">
        <f>657/5</f>
        <v>131.4</v>
      </c>
      <c r="H148" s="4">
        <f>403/5</f>
        <v>80.599999999999994</v>
      </c>
      <c r="I148" s="4">
        <f>471/5</f>
        <v>94.2</v>
      </c>
      <c r="J148" s="6" t="s">
        <v>31</v>
      </c>
      <c r="K148" s="6" t="s">
        <v>16</v>
      </c>
    </row>
    <row r="149" spans="1:11" ht="45" x14ac:dyDescent="0.25">
      <c r="A149" s="9" t="s">
        <v>244</v>
      </c>
      <c r="B149" s="2" t="s">
        <v>245</v>
      </c>
      <c r="C149" s="2" t="s">
        <v>19</v>
      </c>
      <c r="D149" s="4">
        <f>84310/20</f>
        <v>4215.5</v>
      </c>
      <c r="E149" s="4">
        <f>86412/20</f>
        <v>4320.6000000000004</v>
      </c>
      <c r="F149" s="4">
        <f>15793/5</f>
        <v>3158.6</v>
      </c>
      <c r="G149" s="4">
        <f>16005/5</f>
        <v>3201</v>
      </c>
      <c r="H149" s="4">
        <f>8525/5</f>
        <v>1705</v>
      </c>
      <c r="I149" s="4">
        <f>9280/5</f>
        <v>1856</v>
      </c>
      <c r="J149" s="6" t="s">
        <v>133</v>
      </c>
      <c r="K149" s="6" t="s">
        <v>16</v>
      </c>
    </row>
    <row r="150" spans="1:11" x14ac:dyDescent="0.25">
      <c r="A150" s="9" t="s">
        <v>244</v>
      </c>
      <c r="B150" s="2" t="s">
        <v>245</v>
      </c>
      <c r="C150" s="2" t="s">
        <v>19</v>
      </c>
      <c r="D150" s="4">
        <f>21166/20</f>
        <v>1058.3</v>
      </c>
      <c r="E150" s="4">
        <f>23648/20</f>
        <v>1182.4000000000001</v>
      </c>
      <c r="F150" s="4">
        <f>4361/5</f>
        <v>872.2</v>
      </c>
      <c r="G150" s="4">
        <f>4541/5</f>
        <v>908.2</v>
      </c>
      <c r="H150" s="4">
        <f>3363/5</f>
        <v>672.6</v>
      </c>
      <c r="I150" s="4">
        <f>3503/5</f>
        <v>700.6</v>
      </c>
      <c r="J150" s="5" t="s">
        <v>31</v>
      </c>
      <c r="K150" s="6" t="s">
        <v>16</v>
      </c>
    </row>
    <row r="151" spans="1:11" x14ac:dyDescent="0.25">
      <c r="A151" s="9" t="s">
        <v>244</v>
      </c>
      <c r="B151" s="2" t="s">
        <v>245</v>
      </c>
      <c r="C151" s="2" t="s">
        <v>19</v>
      </c>
      <c r="D151" s="4">
        <f>63144/20</f>
        <v>3157.2</v>
      </c>
      <c r="E151" s="4">
        <f>62764/20</f>
        <v>3138.2</v>
      </c>
      <c r="F151" s="4">
        <f>11432/5</f>
        <v>2286.4</v>
      </c>
      <c r="G151" s="4">
        <f>11464/5</f>
        <v>2292.8000000000002</v>
      </c>
      <c r="H151" s="4">
        <f>5162/5</f>
        <v>1032.4000000000001</v>
      </c>
      <c r="I151" s="4">
        <f>5777/5</f>
        <v>1155.4000000000001</v>
      </c>
      <c r="J151" s="7" t="s">
        <v>83</v>
      </c>
      <c r="K151" s="6" t="s">
        <v>16</v>
      </c>
    </row>
    <row r="152" spans="1:11" x14ac:dyDescent="0.25">
      <c r="A152" s="9" t="s">
        <v>246</v>
      </c>
      <c r="B152" s="2" t="s">
        <v>247</v>
      </c>
      <c r="C152" s="2" t="s">
        <v>19</v>
      </c>
      <c r="D152" s="4">
        <f>5473/20</f>
        <v>273.64999999999998</v>
      </c>
      <c r="E152" s="4">
        <f>5737/20</f>
        <v>286.85000000000002</v>
      </c>
      <c r="F152" s="4">
        <f>961/5</f>
        <v>192.2</v>
      </c>
      <c r="G152" s="4">
        <f>1111/5</f>
        <v>222.2</v>
      </c>
      <c r="H152" s="4">
        <f>507/5</f>
        <v>101.4</v>
      </c>
      <c r="I152" s="4">
        <f>578/5</f>
        <v>115.6</v>
      </c>
      <c r="J152" s="5" t="s">
        <v>65</v>
      </c>
      <c r="K152" s="6" t="s">
        <v>16</v>
      </c>
    </row>
    <row r="153" spans="1:11" x14ac:dyDescent="0.25">
      <c r="A153" s="9" t="s">
        <v>248</v>
      </c>
      <c r="B153" s="2" t="s">
        <v>249</v>
      </c>
      <c r="C153" s="2" t="s">
        <v>14</v>
      </c>
      <c r="D153" s="4">
        <f>2617/20</f>
        <v>130.85</v>
      </c>
      <c r="E153" s="4">
        <f>3127/20</f>
        <v>156.35</v>
      </c>
      <c r="F153" s="4">
        <f>483/5</f>
        <v>96.6</v>
      </c>
      <c r="G153" s="4">
        <f>393/5</f>
        <v>78.599999999999994</v>
      </c>
      <c r="H153" s="4">
        <f>207/5</f>
        <v>41.4</v>
      </c>
      <c r="I153" s="4">
        <f>218/5</f>
        <v>43.6</v>
      </c>
      <c r="J153" s="5" t="s">
        <v>15</v>
      </c>
      <c r="K153" s="6" t="s">
        <v>16</v>
      </c>
    </row>
    <row r="154" spans="1:11" x14ac:dyDescent="0.25">
      <c r="A154" s="9" t="s">
        <v>250</v>
      </c>
      <c r="B154" s="2" t="s">
        <v>97</v>
      </c>
      <c r="C154" s="2" t="s">
        <v>34</v>
      </c>
      <c r="D154" s="4">
        <f>1218/20</f>
        <v>60.9</v>
      </c>
      <c r="E154" s="4">
        <f>1369/20</f>
        <v>68.45</v>
      </c>
      <c r="F154" s="4">
        <f>188/5</f>
        <v>37.6</v>
      </c>
      <c r="G154" s="4">
        <f>156/5</f>
        <v>31.2</v>
      </c>
      <c r="H154" s="4" t="s">
        <v>41</v>
      </c>
      <c r="I154" s="4" t="s">
        <v>41</v>
      </c>
      <c r="J154" s="5" t="s">
        <v>91</v>
      </c>
      <c r="K154" s="4" t="s">
        <v>28</v>
      </c>
    </row>
    <row r="155" spans="1:11" x14ac:dyDescent="0.25">
      <c r="A155" s="9" t="s">
        <v>251</v>
      </c>
      <c r="B155" s="2" t="s">
        <v>172</v>
      </c>
      <c r="C155" s="2" t="s">
        <v>14</v>
      </c>
      <c r="D155" s="4">
        <f>2844/20</f>
        <v>142.19999999999999</v>
      </c>
      <c r="E155" s="4">
        <f>3483/20</f>
        <v>174.15</v>
      </c>
      <c r="F155" s="4">
        <f>665/5</f>
        <v>133</v>
      </c>
      <c r="G155" s="4">
        <f>969/5</f>
        <v>193.8</v>
      </c>
      <c r="H155" s="4">
        <f>557/5</f>
        <v>111.4</v>
      </c>
      <c r="I155" s="4">
        <f>726/5</f>
        <v>145.19999999999999</v>
      </c>
      <c r="J155" s="6" t="s">
        <v>31</v>
      </c>
      <c r="K155" s="6" t="s">
        <v>16</v>
      </c>
    </row>
    <row r="156" spans="1:11" x14ac:dyDescent="0.25">
      <c r="A156" s="9" t="s">
        <v>252</v>
      </c>
      <c r="B156" s="2" t="s">
        <v>253</v>
      </c>
      <c r="C156" s="2" t="s">
        <v>14</v>
      </c>
      <c r="D156" s="4">
        <f>17758/20</f>
        <v>887.9</v>
      </c>
      <c r="E156" s="4">
        <f>19037/20</f>
        <v>951.85</v>
      </c>
      <c r="F156" s="4">
        <f>3691/5</f>
        <v>738.2</v>
      </c>
      <c r="G156" s="4">
        <f>3929/5</f>
        <v>785.8</v>
      </c>
      <c r="H156" s="4">
        <f>1964/5</f>
        <v>392.8</v>
      </c>
      <c r="I156" s="4">
        <f>2728/5</f>
        <v>545.6</v>
      </c>
      <c r="J156" s="5" t="s">
        <v>31</v>
      </c>
      <c r="K156" s="6" t="s">
        <v>16</v>
      </c>
    </row>
    <row r="157" spans="1:11" x14ac:dyDescent="0.25">
      <c r="A157" s="9" t="s">
        <v>254</v>
      </c>
      <c r="B157" s="2" t="s">
        <v>177</v>
      </c>
      <c r="C157" s="2" t="s">
        <v>34</v>
      </c>
      <c r="D157" s="4">
        <f>2577/20</f>
        <v>128.85</v>
      </c>
      <c r="E157" s="4">
        <f>2831/20</f>
        <v>141.55000000000001</v>
      </c>
      <c r="F157" s="4">
        <f>388/5</f>
        <v>77.599999999999994</v>
      </c>
      <c r="G157" s="4">
        <f>411/5</f>
        <v>82.2</v>
      </c>
      <c r="H157" s="4" t="s">
        <v>41</v>
      </c>
      <c r="I157" s="4" t="s">
        <v>41</v>
      </c>
      <c r="J157" s="5" t="s">
        <v>91</v>
      </c>
      <c r="K157" s="4" t="s">
        <v>28</v>
      </c>
    </row>
    <row r="158" spans="1:11" x14ac:dyDescent="0.25">
      <c r="A158" s="9" t="s">
        <v>255</v>
      </c>
      <c r="B158" s="2" t="s">
        <v>256</v>
      </c>
      <c r="C158" s="2" t="s">
        <v>198</v>
      </c>
      <c r="D158" s="4">
        <f>252/20</f>
        <v>12.6</v>
      </c>
      <c r="E158" s="4">
        <f>258/20</f>
        <v>12.9</v>
      </c>
      <c r="F158" s="4">
        <f>60/5</f>
        <v>12</v>
      </c>
      <c r="G158" s="4">
        <f>43/5</f>
        <v>8.6</v>
      </c>
      <c r="H158" s="4" t="s">
        <v>41</v>
      </c>
      <c r="I158" s="4" t="s">
        <v>41</v>
      </c>
      <c r="J158" s="5" t="s">
        <v>88</v>
      </c>
      <c r="K158" s="4" t="s">
        <v>28</v>
      </c>
    </row>
    <row r="159" spans="1:11" x14ac:dyDescent="0.25">
      <c r="A159" s="9" t="s">
        <v>257</v>
      </c>
      <c r="B159" s="2" t="s">
        <v>247</v>
      </c>
      <c r="C159" s="2" t="s">
        <v>19</v>
      </c>
      <c r="D159" s="4">
        <f>10794/20</f>
        <v>539.70000000000005</v>
      </c>
      <c r="E159" s="4">
        <f>12497/20</f>
        <v>624.85</v>
      </c>
      <c r="F159" s="4">
        <f>1759/5</f>
        <v>351.8</v>
      </c>
      <c r="G159" s="4">
        <f>2355/5</f>
        <v>471</v>
      </c>
      <c r="H159" s="4">
        <f>920/5</f>
        <v>184</v>
      </c>
      <c r="I159" s="4">
        <f>1280/5</f>
        <v>256</v>
      </c>
      <c r="J159" s="5" t="s">
        <v>65</v>
      </c>
      <c r="K159" s="6" t="s">
        <v>16</v>
      </c>
    </row>
    <row r="160" spans="1:11" x14ac:dyDescent="0.25">
      <c r="A160" s="9" t="s">
        <v>258</v>
      </c>
      <c r="B160" s="2" t="s">
        <v>259</v>
      </c>
      <c r="C160" s="2" t="s">
        <v>23</v>
      </c>
      <c r="D160" s="1">
        <f>369/20</f>
        <v>18.45</v>
      </c>
      <c r="E160" s="4">
        <f>517/20</f>
        <v>25.85</v>
      </c>
      <c r="F160" s="4">
        <f>101/5</f>
        <v>20.2</v>
      </c>
      <c r="G160" s="4">
        <f>84/5</f>
        <v>16.8</v>
      </c>
      <c r="H160" s="4" t="s">
        <v>41</v>
      </c>
      <c r="I160" s="4" t="s">
        <v>41</v>
      </c>
      <c r="J160" s="5" t="s">
        <v>175</v>
      </c>
      <c r="K160" s="4" t="s">
        <v>28</v>
      </c>
    </row>
    <row r="161" spans="1:11" x14ac:dyDescent="0.25">
      <c r="A161" s="9" t="s">
        <v>260</v>
      </c>
      <c r="B161" s="2" t="s">
        <v>261</v>
      </c>
      <c r="C161" s="2" t="s">
        <v>23</v>
      </c>
      <c r="D161" s="1">
        <f>1440/20</f>
        <v>72</v>
      </c>
      <c r="E161" s="4">
        <f>1530/20</f>
        <v>76.5</v>
      </c>
      <c r="F161" s="4">
        <f>364/5</f>
        <v>72.8</v>
      </c>
      <c r="G161" s="4">
        <f>303/5</f>
        <v>60.6</v>
      </c>
      <c r="H161" s="4" t="s">
        <v>41</v>
      </c>
      <c r="I161" s="4" t="s">
        <v>41</v>
      </c>
      <c r="J161" s="5" t="s">
        <v>175</v>
      </c>
      <c r="K161" s="4" t="s">
        <v>28</v>
      </c>
    </row>
    <row r="162" spans="1:11" x14ac:dyDescent="0.25">
      <c r="A162" s="9" t="s">
        <v>262</v>
      </c>
      <c r="B162" s="2" t="s">
        <v>263</v>
      </c>
      <c r="C162" s="2" t="s">
        <v>51</v>
      </c>
      <c r="D162" s="4">
        <f>22/20</f>
        <v>1.1000000000000001</v>
      </c>
      <c r="E162" s="4">
        <f>39/5</f>
        <v>7.8</v>
      </c>
      <c r="F162" s="4">
        <f>25/5</f>
        <v>5</v>
      </c>
      <c r="G162" s="4">
        <f>44/5</f>
        <v>8.8000000000000007</v>
      </c>
      <c r="H162" s="4">
        <f>20/5</f>
        <v>4</v>
      </c>
      <c r="I162" s="4">
        <f>31/5</f>
        <v>6.2</v>
      </c>
      <c r="J162" s="5" t="s">
        <v>52</v>
      </c>
      <c r="K162" s="6" t="s">
        <v>16</v>
      </c>
    </row>
    <row r="163" spans="1:11" x14ac:dyDescent="0.25">
      <c r="A163" s="9" t="s">
        <v>264</v>
      </c>
      <c r="B163" s="2" t="s">
        <v>172</v>
      </c>
      <c r="C163" s="2" t="s">
        <v>14</v>
      </c>
      <c r="D163" s="4">
        <f>2313/20</f>
        <v>115.65</v>
      </c>
      <c r="E163" s="4">
        <f>2567/20</f>
        <v>128.35</v>
      </c>
      <c r="F163" s="4">
        <f>468/5</f>
        <v>93.6</v>
      </c>
      <c r="G163" s="4">
        <f>504/5</f>
        <v>100.8</v>
      </c>
      <c r="H163" s="4">
        <f>327/5</f>
        <v>65.400000000000006</v>
      </c>
      <c r="I163" s="4">
        <f>330/5</f>
        <v>66</v>
      </c>
      <c r="J163" s="5" t="s">
        <v>15</v>
      </c>
      <c r="K163" s="6" t="s">
        <v>16</v>
      </c>
    </row>
    <row r="164" spans="1:11" x14ac:dyDescent="0.25">
      <c r="A164" s="9" t="s">
        <v>265</v>
      </c>
      <c r="B164" s="2" t="s">
        <v>102</v>
      </c>
      <c r="C164" s="2" t="s">
        <v>19</v>
      </c>
      <c r="D164" s="4">
        <f>3608/20</f>
        <v>180.4</v>
      </c>
      <c r="E164" s="4">
        <f>3372/20</f>
        <v>168.6</v>
      </c>
      <c r="F164" s="4">
        <f>592/5</f>
        <v>118.4</v>
      </c>
      <c r="G164" s="4">
        <f>631/5</f>
        <v>126.2</v>
      </c>
      <c r="H164" s="4">
        <f>154/5</f>
        <v>30.8</v>
      </c>
      <c r="I164" s="4">
        <f>126/5</f>
        <v>25.2</v>
      </c>
      <c r="J164" s="5" t="s">
        <v>73</v>
      </c>
      <c r="K164" s="4" t="s">
        <v>28</v>
      </c>
    </row>
    <row r="165" spans="1:11" x14ac:dyDescent="0.25">
      <c r="A165" s="9" t="s">
        <v>266</v>
      </c>
      <c r="B165" s="2" t="s">
        <v>261</v>
      </c>
      <c r="C165" s="2" t="s">
        <v>23</v>
      </c>
      <c r="D165" s="1">
        <f>1996/20</f>
        <v>99.8</v>
      </c>
      <c r="E165" s="4">
        <f>1874/20</f>
        <v>93.7</v>
      </c>
      <c r="F165" s="4">
        <f>435/5</f>
        <v>87</v>
      </c>
      <c r="G165" s="4">
        <f>326/5</f>
        <v>65.2</v>
      </c>
      <c r="H165" s="4" t="s">
        <v>41</v>
      </c>
      <c r="I165" s="4" t="s">
        <v>41</v>
      </c>
      <c r="J165" s="5" t="s">
        <v>175</v>
      </c>
      <c r="K165" s="4" t="s">
        <v>28</v>
      </c>
    </row>
    <row r="166" spans="1:11" x14ac:dyDescent="0.25">
      <c r="A166" s="9" t="s">
        <v>267</v>
      </c>
      <c r="B166" s="2" t="s">
        <v>261</v>
      </c>
      <c r="C166" s="2" t="s">
        <v>23</v>
      </c>
      <c r="D166" s="1">
        <f>1895/20</f>
        <v>94.75</v>
      </c>
      <c r="E166" s="4">
        <f>1694/20</f>
        <v>84.7</v>
      </c>
      <c r="F166" s="4">
        <f>376/5</f>
        <v>75.2</v>
      </c>
      <c r="G166" s="4">
        <f>355/5</f>
        <v>71</v>
      </c>
      <c r="H166" s="4" t="s">
        <v>41</v>
      </c>
      <c r="I166" s="4" t="s">
        <v>41</v>
      </c>
      <c r="J166" s="5" t="s">
        <v>175</v>
      </c>
      <c r="K166" s="4" t="s">
        <v>28</v>
      </c>
    </row>
    <row r="167" spans="1:11" x14ac:dyDescent="0.25">
      <c r="A167" s="9" t="s">
        <v>268</v>
      </c>
      <c r="B167" s="2" t="s">
        <v>269</v>
      </c>
      <c r="C167" s="2" t="s">
        <v>26</v>
      </c>
      <c r="D167" s="4">
        <f>10712/20</f>
        <v>535.6</v>
      </c>
      <c r="E167" s="4">
        <f>12493/20</f>
        <v>624.65</v>
      </c>
      <c r="F167" s="4">
        <f>2184/5</f>
        <v>436.8</v>
      </c>
      <c r="G167" s="4">
        <f>2242/5</f>
        <v>448.4</v>
      </c>
      <c r="H167" s="4">
        <f>1278/5</f>
        <v>255.6</v>
      </c>
      <c r="I167" s="4">
        <f>1250/5</f>
        <v>250</v>
      </c>
      <c r="J167" s="2" t="s">
        <v>71</v>
      </c>
      <c r="K167" s="6" t="s">
        <v>16</v>
      </c>
    </row>
    <row r="168" spans="1:11" x14ac:dyDescent="0.25">
      <c r="A168" s="9" t="s">
        <v>270</v>
      </c>
      <c r="B168" s="2" t="s">
        <v>271</v>
      </c>
      <c r="C168" s="2" t="s">
        <v>48</v>
      </c>
      <c r="D168" s="4">
        <f>3635/20</f>
        <v>181.75</v>
      </c>
      <c r="E168" s="4">
        <f>4097/20</f>
        <v>204.85</v>
      </c>
      <c r="F168" s="4">
        <f>639/5</f>
        <v>127.8</v>
      </c>
      <c r="G168" s="4">
        <f>868/5</f>
        <v>173.6</v>
      </c>
      <c r="H168" s="4">
        <f>269/5</f>
        <v>53.8</v>
      </c>
      <c r="I168" s="4">
        <f>382/5</f>
        <v>76.400000000000006</v>
      </c>
      <c r="J168" s="7" t="s">
        <v>83</v>
      </c>
      <c r="K168" s="6" t="s">
        <v>16</v>
      </c>
    </row>
    <row r="169" spans="1:11" ht="60" x14ac:dyDescent="0.25">
      <c r="A169" s="9" t="s">
        <v>272</v>
      </c>
      <c r="B169" s="2" t="s">
        <v>25</v>
      </c>
      <c r="C169" s="2" t="s">
        <v>26</v>
      </c>
      <c r="D169" s="2">
        <f>193960/20</f>
        <v>9698</v>
      </c>
      <c r="E169" s="4">
        <f>174934/20</f>
        <v>8746.7000000000007</v>
      </c>
      <c r="F169" s="4">
        <f>39751/5</f>
        <v>7950.2</v>
      </c>
      <c r="G169" s="2">
        <f>34630/5</f>
        <v>6926</v>
      </c>
      <c r="H169" s="4">
        <f>24024/5</f>
        <v>4804.8</v>
      </c>
      <c r="I169" s="4">
        <f>22833/5</f>
        <v>4566.6000000000004</v>
      </c>
      <c r="J169" s="6" t="s">
        <v>273</v>
      </c>
      <c r="K169" s="6" t="s">
        <v>16</v>
      </c>
    </row>
    <row r="170" spans="1:11" x14ac:dyDescent="0.25">
      <c r="A170" s="9" t="s">
        <v>272</v>
      </c>
      <c r="B170" s="2" t="s">
        <v>25</v>
      </c>
      <c r="C170" s="2" t="s">
        <v>26</v>
      </c>
      <c r="D170" s="4">
        <f>130732/20</f>
        <v>6536.6</v>
      </c>
      <c r="E170" s="4">
        <f>118128/20</f>
        <v>5906.4</v>
      </c>
      <c r="F170" s="4">
        <f>28127/5</f>
        <v>5625.4</v>
      </c>
      <c r="G170" s="4">
        <f>24377/5</f>
        <v>4875.3999999999996</v>
      </c>
      <c r="H170" s="4">
        <f>19223/5</f>
        <v>3844.6</v>
      </c>
      <c r="I170" s="4">
        <f>18662/5</f>
        <v>3732.4</v>
      </c>
      <c r="J170" s="5" t="s">
        <v>20</v>
      </c>
      <c r="K170" s="6" t="s">
        <v>16</v>
      </c>
    </row>
    <row r="171" spans="1:11" x14ac:dyDescent="0.25">
      <c r="A171" s="9" t="s">
        <v>272</v>
      </c>
      <c r="B171" s="2" t="s">
        <v>25</v>
      </c>
      <c r="C171" s="2" t="s">
        <v>26</v>
      </c>
      <c r="D171" s="4">
        <f>48641/20</f>
        <v>2432.0500000000002</v>
      </c>
      <c r="E171" s="4">
        <f>45097/20</f>
        <v>2254.85</v>
      </c>
      <c r="F171" s="4">
        <f>8829/5</f>
        <v>1765.8</v>
      </c>
      <c r="G171" s="4">
        <f>7710/5</f>
        <v>1542</v>
      </c>
      <c r="H171" s="4">
        <f>4317/5</f>
        <v>863.4</v>
      </c>
      <c r="I171" s="4">
        <f>3774/5</f>
        <v>754.8</v>
      </c>
      <c r="J171" s="2" t="s">
        <v>121</v>
      </c>
      <c r="K171" s="6" t="s">
        <v>16</v>
      </c>
    </row>
    <row r="172" spans="1:11" x14ac:dyDescent="0.25">
      <c r="A172" s="9" t="s">
        <v>272</v>
      </c>
      <c r="B172" s="2" t="s">
        <v>25</v>
      </c>
      <c r="C172" s="2" t="s">
        <v>26</v>
      </c>
      <c r="D172" s="4">
        <f>14587/20</f>
        <v>729.35</v>
      </c>
      <c r="E172" s="4">
        <f>11709/20</f>
        <v>585.45000000000005</v>
      </c>
      <c r="F172" s="4">
        <f>2795/5</f>
        <v>559</v>
      </c>
      <c r="G172" s="4">
        <f>2543/5</f>
        <v>508.6</v>
      </c>
      <c r="H172" s="4">
        <f>484/5</f>
        <v>96.8</v>
      </c>
      <c r="I172" s="4">
        <f>397/5</f>
        <v>79.400000000000006</v>
      </c>
      <c r="J172" s="6" t="s">
        <v>27</v>
      </c>
      <c r="K172" s="6" t="s">
        <v>16</v>
      </c>
    </row>
    <row r="173" spans="1:11" x14ac:dyDescent="0.25">
      <c r="A173" s="9" t="s">
        <v>274</v>
      </c>
      <c r="B173" s="2" t="s">
        <v>25</v>
      </c>
      <c r="C173" s="2" t="s">
        <v>26</v>
      </c>
      <c r="D173" s="4">
        <f>843/20</f>
        <v>42.15</v>
      </c>
      <c r="E173" s="4">
        <f>927/20</f>
        <v>46.35</v>
      </c>
      <c r="F173" s="4">
        <f>112/5</f>
        <v>22.4</v>
      </c>
      <c r="G173" s="4">
        <f>150/5</f>
        <v>30</v>
      </c>
      <c r="H173" s="4">
        <f>5/5</f>
        <v>1</v>
      </c>
      <c r="I173" s="4">
        <f>16/5</f>
        <v>3.2</v>
      </c>
      <c r="J173" s="5" t="s">
        <v>27</v>
      </c>
      <c r="K173" s="4" t="s">
        <v>28</v>
      </c>
    </row>
    <row r="174" spans="1:11" x14ac:dyDescent="0.25">
      <c r="A174" s="9" t="s">
        <v>275</v>
      </c>
      <c r="B174" s="2" t="s">
        <v>25</v>
      </c>
      <c r="C174" s="2" t="s">
        <v>26</v>
      </c>
      <c r="D174" s="4">
        <f>3242/20</f>
        <v>162.1</v>
      </c>
      <c r="E174" s="4">
        <f>4361/20</f>
        <v>218.05</v>
      </c>
      <c r="F174" s="4">
        <f>589/5</f>
        <v>117.8</v>
      </c>
      <c r="G174" s="4">
        <f>643/5</f>
        <v>128.6</v>
      </c>
      <c r="H174" s="4">
        <f>96/5</f>
        <v>19.2</v>
      </c>
      <c r="I174" s="4">
        <f>131/5</f>
        <v>26.2</v>
      </c>
      <c r="J174" s="5" t="s">
        <v>27</v>
      </c>
      <c r="K174" s="4" t="s">
        <v>28</v>
      </c>
    </row>
    <row r="175" spans="1:11" x14ac:dyDescent="0.25">
      <c r="A175" s="9" t="s">
        <v>276</v>
      </c>
      <c r="B175" s="2" t="s">
        <v>25</v>
      </c>
      <c r="C175" s="2" t="s">
        <v>26</v>
      </c>
      <c r="D175" s="4">
        <f>4016/20</f>
        <v>200.8</v>
      </c>
      <c r="E175" s="4">
        <f>4476/20</f>
        <v>223.8</v>
      </c>
      <c r="F175" s="4">
        <f>441/5</f>
        <v>88.2</v>
      </c>
      <c r="G175" s="4">
        <f>446/5</f>
        <v>89.2</v>
      </c>
      <c r="H175" s="4">
        <f>50/5</f>
        <v>10</v>
      </c>
      <c r="I175" s="4">
        <f>58/5</f>
        <v>11.6</v>
      </c>
      <c r="J175" s="5" t="s">
        <v>27</v>
      </c>
      <c r="K175" s="4" t="s">
        <v>28</v>
      </c>
    </row>
    <row r="176" spans="1:11" x14ac:dyDescent="0.25">
      <c r="A176" s="9" t="s">
        <v>277</v>
      </c>
      <c r="B176" s="2" t="s">
        <v>239</v>
      </c>
      <c r="C176" s="2" t="s">
        <v>19</v>
      </c>
      <c r="D176" s="4">
        <f>9196/20</f>
        <v>459.8</v>
      </c>
      <c r="E176" s="4">
        <f>9414/20</f>
        <v>470.7</v>
      </c>
      <c r="F176" s="4">
        <f>1414/5</f>
        <v>282.8</v>
      </c>
      <c r="G176" s="4">
        <f>1430/5</f>
        <v>286</v>
      </c>
      <c r="H176" s="4">
        <f>377/5</f>
        <v>75.400000000000006</v>
      </c>
      <c r="I176" s="4">
        <f>340/5</f>
        <v>68</v>
      </c>
      <c r="J176" s="5" t="s">
        <v>73</v>
      </c>
      <c r="K176" s="4" t="s">
        <v>28</v>
      </c>
    </row>
    <row r="177" spans="1:11" x14ac:dyDescent="0.25">
      <c r="A177" s="9" t="s">
        <v>278</v>
      </c>
      <c r="B177" s="2" t="s">
        <v>56</v>
      </c>
      <c r="C177" s="2" t="s">
        <v>19</v>
      </c>
      <c r="D177" s="4">
        <f>180/20</f>
        <v>9</v>
      </c>
      <c r="E177" s="4">
        <f>131/20</f>
        <v>6.55</v>
      </c>
      <c r="F177" s="4">
        <f>27/5</f>
        <v>5.4</v>
      </c>
      <c r="G177" s="4">
        <f>20/5</f>
        <v>4</v>
      </c>
      <c r="H177" s="4">
        <f>21/5</f>
        <v>4.2</v>
      </c>
      <c r="I177" s="4">
        <f>23/5</f>
        <v>4.5999999999999996</v>
      </c>
      <c r="J177" s="5" t="s">
        <v>57</v>
      </c>
      <c r="K177" s="6" t="s">
        <v>16</v>
      </c>
    </row>
    <row r="178" spans="1:11" x14ac:dyDescent="0.25">
      <c r="A178" s="9" t="s">
        <v>279</v>
      </c>
      <c r="B178" s="2" t="s">
        <v>280</v>
      </c>
      <c r="C178" s="2" t="s">
        <v>23</v>
      </c>
      <c r="D178" s="4">
        <f>737/20</f>
        <v>36.85</v>
      </c>
      <c r="E178" s="4">
        <f>511/20</f>
        <v>25.55</v>
      </c>
      <c r="F178" s="4">
        <f>93/5</f>
        <v>18.600000000000001</v>
      </c>
      <c r="G178" s="4">
        <f>69/5</f>
        <v>13.8</v>
      </c>
      <c r="H178" s="4">
        <f>69/5</f>
        <v>13.8</v>
      </c>
      <c r="I178" s="4">
        <f>67/5</f>
        <v>13.4</v>
      </c>
      <c r="J178" s="5" t="s">
        <v>15</v>
      </c>
      <c r="K178" s="6" t="s">
        <v>16</v>
      </c>
    </row>
    <row r="179" spans="1:11" x14ac:dyDescent="0.25">
      <c r="A179" s="9" t="s">
        <v>281</v>
      </c>
      <c r="B179" s="2" t="s">
        <v>282</v>
      </c>
      <c r="C179" s="2" t="s">
        <v>19</v>
      </c>
      <c r="D179" s="4">
        <f>4724/20</f>
        <v>236.2</v>
      </c>
      <c r="E179" s="4">
        <f>5438/20</f>
        <v>271.89999999999998</v>
      </c>
      <c r="F179" s="4">
        <f>541/5</f>
        <v>108.2</v>
      </c>
      <c r="G179" s="4">
        <f>532/5</f>
        <v>106.4</v>
      </c>
      <c r="H179" s="4">
        <f>240/5</f>
        <v>48</v>
      </c>
      <c r="I179" s="4">
        <f>381/5</f>
        <v>76.2</v>
      </c>
      <c r="J179" s="5" t="s">
        <v>69</v>
      </c>
      <c r="K179" s="6" t="s">
        <v>16</v>
      </c>
    </row>
    <row r="180" spans="1:11" x14ac:dyDescent="0.25">
      <c r="A180" s="9" t="s">
        <v>283</v>
      </c>
      <c r="B180" s="2" t="s">
        <v>44</v>
      </c>
      <c r="C180" s="2" t="s">
        <v>19</v>
      </c>
      <c r="D180" s="4">
        <f>2532/20</f>
        <v>126.6</v>
      </c>
      <c r="E180" s="4">
        <f>2677/20</f>
        <v>133.85</v>
      </c>
      <c r="F180" s="4">
        <f>480/5</f>
        <v>96</v>
      </c>
      <c r="G180" s="4">
        <f>443/5</f>
        <v>88.6</v>
      </c>
      <c r="H180" s="4">
        <f>94/5</f>
        <v>18.8</v>
      </c>
      <c r="I180" s="4">
        <f>81/5</f>
        <v>16.2</v>
      </c>
      <c r="J180" s="5" t="s">
        <v>45</v>
      </c>
      <c r="K180" s="4" t="s">
        <v>28</v>
      </c>
    </row>
    <row r="181" spans="1:11" ht="45" x14ac:dyDescent="0.25">
      <c r="A181" s="9" t="s">
        <v>284</v>
      </c>
      <c r="B181" s="2" t="s">
        <v>285</v>
      </c>
      <c r="C181" s="2" t="s">
        <v>19</v>
      </c>
      <c r="D181" s="4">
        <f>4820/20</f>
        <v>241</v>
      </c>
      <c r="E181" s="4">
        <f>6070/20</f>
        <v>303.5</v>
      </c>
      <c r="F181" s="4">
        <f>595/5</f>
        <v>119</v>
      </c>
      <c r="G181" s="4">
        <f>781/5</f>
        <v>156.19999999999999</v>
      </c>
      <c r="H181" s="4">
        <f>235/5</f>
        <v>47</v>
      </c>
      <c r="I181" s="4">
        <f>304/5</f>
        <v>60.8</v>
      </c>
      <c r="J181" s="5" t="s">
        <v>76</v>
      </c>
      <c r="K181" s="6" t="s">
        <v>16</v>
      </c>
    </row>
    <row r="182" spans="1:11" x14ac:dyDescent="0.25">
      <c r="A182" s="9" t="s">
        <v>284</v>
      </c>
      <c r="B182" s="2" t="s">
        <v>285</v>
      </c>
      <c r="C182" s="2" t="s">
        <v>19</v>
      </c>
      <c r="D182" s="4">
        <f>2430/20</f>
        <v>121.5</v>
      </c>
      <c r="E182" s="4">
        <f>3439/20</f>
        <v>171.95</v>
      </c>
      <c r="F182" s="4">
        <f>231/5</f>
        <v>46.2</v>
      </c>
      <c r="G182" s="4">
        <f>306/5</f>
        <v>61.2</v>
      </c>
      <c r="H182" s="4">
        <f>132/5</f>
        <v>26.4</v>
      </c>
      <c r="I182" s="4">
        <f>179/5</f>
        <v>35.799999999999997</v>
      </c>
      <c r="J182" s="5" t="s">
        <v>69</v>
      </c>
      <c r="K182" s="6" t="s">
        <v>16</v>
      </c>
    </row>
    <row r="183" spans="1:11" x14ac:dyDescent="0.25">
      <c r="A183" s="9" t="s">
        <v>284</v>
      </c>
      <c r="B183" s="2" t="s">
        <v>285</v>
      </c>
      <c r="C183" s="2" t="s">
        <v>19</v>
      </c>
      <c r="D183" s="4">
        <f>2390/20</f>
        <v>119.5</v>
      </c>
      <c r="E183" s="4">
        <f>2631/20</f>
        <v>131.55000000000001</v>
      </c>
      <c r="F183" s="4">
        <f>364/5</f>
        <v>72.8</v>
      </c>
      <c r="G183" s="4">
        <f>475/5</f>
        <v>95</v>
      </c>
      <c r="H183" s="4">
        <f>103/5</f>
        <v>20.6</v>
      </c>
      <c r="I183" s="4">
        <f>125/5</f>
        <v>25</v>
      </c>
      <c r="J183" s="5" t="s">
        <v>65</v>
      </c>
      <c r="K183" s="6" t="s">
        <v>16</v>
      </c>
    </row>
    <row r="184" spans="1:11" x14ac:dyDescent="0.25">
      <c r="A184" s="9" t="s">
        <v>286</v>
      </c>
      <c r="B184" s="2" t="s">
        <v>287</v>
      </c>
      <c r="C184" s="2" t="s">
        <v>34</v>
      </c>
      <c r="D184" s="4">
        <f>7681/20</f>
        <v>384.05</v>
      </c>
      <c r="E184" s="4">
        <f>7507/20</f>
        <v>375.35</v>
      </c>
      <c r="F184" s="4">
        <f>1595/5</f>
        <v>319</v>
      </c>
      <c r="G184" s="4">
        <f>1775/5</f>
        <v>355</v>
      </c>
      <c r="H184" s="4">
        <f>60/5</f>
        <v>12</v>
      </c>
      <c r="I184" s="4">
        <f>166/5</f>
        <v>33.200000000000003</v>
      </c>
      <c r="J184" s="5" t="s">
        <v>35</v>
      </c>
      <c r="K184" s="4" t="s">
        <v>28</v>
      </c>
    </row>
    <row r="185" spans="1:11" x14ac:dyDescent="0.25">
      <c r="A185" s="9" t="s">
        <v>288</v>
      </c>
      <c r="B185" s="2" t="s">
        <v>191</v>
      </c>
      <c r="C185" s="2" t="s">
        <v>23</v>
      </c>
      <c r="D185" s="1">
        <f>1494/20</f>
        <v>74.7</v>
      </c>
      <c r="E185" s="4">
        <f>1846/20</f>
        <v>92.3</v>
      </c>
      <c r="F185" s="4">
        <f>258/5</f>
        <v>51.6</v>
      </c>
      <c r="G185" s="4">
        <f>349/5</f>
        <v>69.8</v>
      </c>
      <c r="H185" s="4" t="s">
        <v>41</v>
      </c>
      <c r="I185" s="4" t="s">
        <v>41</v>
      </c>
      <c r="J185" s="5" t="s">
        <v>175</v>
      </c>
      <c r="K185" s="4" t="s">
        <v>28</v>
      </c>
    </row>
    <row r="186" spans="1:11" x14ac:dyDescent="0.25">
      <c r="A186" s="9" t="s">
        <v>289</v>
      </c>
      <c r="B186" s="2" t="s">
        <v>290</v>
      </c>
      <c r="C186" s="2" t="s">
        <v>19</v>
      </c>
      <c r="D186" s="4">
        <f>10974/20</f>
        <v>548.70000000000005</v>
      </c>
      <c r="E186" s="4">
        <f>12262/20</f>
        <v>613.1</v>
      </c>
      <c r="F186" s="4">
        <f>1939/5</f>
        <v>387.8</v>
      </c>
      <c r="G186" s="4">
        <f>2007/5</f>
        <v>401.4</v>
      </c>
      <c r="H186" s="4">
        <f>771/5</f>
        <v>154.19999999999999</v>
      </c>
      <c r="I186" s="4">
        <f>778/5</f>
        <v>155.6</v>
      </c>
      <c r="J186" s="2" t="s">
        <v>71</v>
      </c>
      <c r="K186" s="6" t="s">
        <v>16</v>
      </c>
    </row>
    <row r="187" spans="1:11" x14ac:dyDescent="0.25">
      <c r="A187" s="9" t="s">
        <v>291</v>
      </c>
      <c r="B187" s="2" t="s">
        <v>93</v>
      </c>
      <c r="C187" s="2" t="s">
        <v>51</v>
      </c>
      <c r="D187" s="4">
        <f>460/20</f>
        <v>23</v>
      </c>
      <c r="E187" s="4">
        <f>408/20</f>
        <v>20.399999999999999</v>
      </c>
      <c r="F187" s="4">
        <f>59/5</f>
        <v>11.8</v>
      </c>
      <c r="G187" s="4">
        <f>94/5</f>
        <v>18.8</v>
      </c>
      <c r="H187" s="4">
        <f>46/5</f>
        <v>9.1999999999999993</v>
      </c>
      <c r="I187" s="4">
        <f>57/5</f>
        <v>11.4</v>
      </c>
      <c r="J187" s="5" t="s">
        <v>52</v>
      </c>
      <c r="K187" s="6" t="s">
        <v>16</v>
      </c>
    </row>
    <row r="188" spans="1:11" x14ac:dyDescent="0.25">
      <c r="A188" s="9" t="s">
        <v>292</v>
      </c>
      <c r="B188" s="2" t="s">
        <v>293</v>
      </c>
      <c r="C188" s="2" t="s">
        <v>19</v>
      </c>
      <c r="D188" s="4">
        <f>8453/20</f>
        <v>422.65</v>
      </c>
      <c r="E188" s="4">
        <f>8478/20</f>
        <v>423.9</v>
      </c>
      <c r="F188" s="4">
        <f>1423/5</f>
        <v>284.60000000000002</v>
      </c>
      <c r="G188" s="4">
        <f>1427/5</f>
        <v>285.39999999999998</v>
      </c>
      <c r="H188" s="4">
        <f>602/5</f>
        <v>120.4</v>
      </c>
      <c r="I188" s="4">
        <f>682/5</f>
        <v>136.4</v>
      </c>
      <c r="J188" s="7" t="s">
        <v>83</v>
      </c>
      <c r="K188" s="6" t="s">
        <v>16</v>
      </c>
    </row>
    <row r="189" spans="1:11" x14ac:dyDescent="0.25">
      <c r="A189" s="9" t="s">
        <v>294</v>
      </c>
      <c r="B189" s="2" t="s">
        <v>179</v>
      </c>
      <c r="C189" s="2" t="s">
        <v>106</v>
      </c>
      <c r="D189" s="4">
        <f>848/20</f>
        <v>42.4</v>
      </c>
      <c r="E189" s="4">
        <f>1099/20</f>
        <v>54.95</v>
      </c>
      <c r="F189" s="4">
        <f>140/5</f>
        <v>28</v>
      </c>
      <c r="G189" s="4">
        <f>164/5</f>
        <v>32.799999999999997</v>
      </c>
      <c r="H189" s="4">
        <f>114/5</f>
        <v>22.8</v>
      </c>
      <c r="I189" s="4">
        <f>157/5</f>
        <v>31.4</v>
      </c>
      <c r="J189" s="5" t="s">
        <v>52</v>
      </c>
      <c r="K189" s="6" t="s">
        <v>16</v>
      </c>
    </row>
    <row r="190" spans="1:11" ht="60" x14ac:dyDescent="0.25">
      <c r="A190" s="9" t="s">
        <v>295</v>
      </c>
      <c r="B190" s="2" t="s">
        <v>167</v>
      </c>
      <c r="C190" s="2" t="s">
        <v>106</v>
      </c>
      <c r="D190" s="4">
        <f>182792/20</f>
        <v>9139.6</v>
      </c>
      <c r="E190" s="2">
        <f>168260/20</f>
        <v>8413</v>
      </c>
      <c r="F190" s="2">
        <f>34795/5</f>
        <v>6959</v>
      </c>
      <c r="G190" s="4">
        <f>34234/5</f>
        <v>6846.8</v>
      </c>
      <c r="H190" s="4">
        <f>27469/5</f>
        <v>5493.8</v>
      </c>
      <c r="I190" s="4">
        <f>26641/5</f>
        <v>5328.2</v>
      </c>
      <c r="J190" s="5" t="s">
        <v>296</v>
      </c>
      <c r="K190" s="6" t="s">
        <v>16</v>
      </c>
    </row>
    <row r="191" spans="1:11" x14ac:dyDescent="0.25">
      <c r="A191" s="9" t="s">
        <v>295</v>
      </c>
      <c r="B191" s="2" t="s">
        <v>167</v>
      </c>
      <c r="C191" s="2" t="s">
        <v>106</v>
      </c>
      <c r="D191" s="4">
        <f>141478/20+24+204+77</f>
        <v>7378.9</v>
      </c>
      <c r="E191" s="2">
        <f>128900/20+82+105+29</f>
        <v>6661</v>
      </c>
      <c r="F191" s="2">
        <f>27795/5+124+72</f>
        <v>5755</v>
      </c>
      <c r="G191" s="4">
        <f>27786/5+76+15</f>
        <v>5648.2</v>
      </c>
      <c r="H191" s="4">
        <f>22377/5+81+53</f>
        <v>4609.3999999999996</v>
      </c>
      <c r="I191" s="4">
        <f>20789/5+88+28</f>
        <v>4273.8</v>
      </c>
      <c r="J191" s="5" t="s">
        <v>20</v>
      </c>
      <c r="K191" s="6" t="s">
        <v>16</v>
      </c>
    </row>
    <row r="192" spans="1:11" x14ac:dyDescent="0.25">
      <c r="A192" s="9" t="s">
        <v>295</v>
      </c>
      <c r="B192" s="2" t="s">
        <v>167</v>
      </c>
      <c r="C192" s="2" t="s">
        <v>106</v>
      </c>
      <c r="D192" s="4">
        <f>24085/20</f>
        <v>1204.25</v>
      </c>
      <c r="E192" s="4">
        <f>25670/20</f>
        <v>1283.5</v>
      </c>
      <c r="F192" s="2">
        <f>4510/5</f>
        <v>902</v>
      </c>
      <c r="G192" s="4">
        <f>4509/5</f>
        <v>901.8</v>
      </c>
      <c r="H192" s="4">
        <f>4423/5</f>
        <v>884.6</v>
      </c>
      <c r="I192" s="4">
        <f>5271/5</f>
        <v>1054.2</v>
      </c>
      <c r="J192" s="5" t="s">
        <v>52</v>
      </c>
      <c r="K192" s="6" t="s">
        <v>16</v>
      </c>
    </row>
    <row r="193" spans="1:11" x14ac:dyDescent="0.25">
      <c r="A193" s="9" t="s">
        <v>295</v>
      </c>
      <c r="B193" s="2" t="s">
        <v>167</v>
      </c>
      <c r="C193" s="2" t="s">
        <v>106</v>
      </c>
      <c r="D193" s="4">
        <f>11133/20</f>
        <v>556.65</v>
      </c>
      <c r="E193" s="4">
        <f>9375/20</f>
        <v>468.75</v>
      </c>
      <c r="F193" s="4">
        <f>1508/5</f>
        <v>301.60000000000002</v>
      </c>
      <c r="G193" s="4">
        <f>1487/5</f>
        <v>297.39999999999998</v>
      </c>
      <c r="H193" s="4" t="s">
        <v>195</v>
      </c>
      <c r="I193" s="4" t="s">
        <v>195</v>
      </c>
      <c r="J193" s="5" t="s">
        <v>91</v>
      </c>
      <c r="K193" s="6" t="s">
        <v>16</v>
      </c>
    </row>
    <row r="194" spans="1:11" x14ac:dyDescent="0.25">
      <c r="A194" s="9" t="s">
        <v>297</v>
      </c>
      <c r="B194" s="2" t="s">
        <v>298</v>
      </c>
      <c r="C194" s="2" t="s">
        <v>198</v>
      </c>
      <c r="D194" s="4">
        <f>880/20</f>
        <v>44</v>
      </c>
      <c r="E194" s="4">
        <f>1607/20</f>
        <v>80.349999999999994</v>
      </c>
      <c r="F194" s="4">
        <f>144/5</f>
        <v>28.8</v>
      </c>
      <c r="G194" s="4">
        <f>342/5</f>
        <v>68.400000000000006</v>
      </c>
      <c r="H194" s="4" t="s">
        <v>41</v>
      </c>
      <c r="I194" s="4" t="s">
        <v>41</v>
      </c>
      <c r="J194" s="5" t="s">
        <v>88</v>
      </c>
      <c r="K194" s="4" t="s">
        <v>28</v>
      </c>
    </row>
    <row r="195" spans="1:11" ht="45" x14ac:dyDescent="0.25">
      <c r="A195" s="9" t="s">
        <v>299</v>
      </c>
      <c r="B195" s="2" t="s">
        <v>300</v>
      </c>
      <c r="C195" s="2" t="s">
        <v>112</v>
      </c>
      <c r="D195" s="4">
        <f>87619/20</f>
        <v>4380.95</v>
      </c>
      <c r="E195" s="4">
        <f>105072/20</f>
        <v>5253.6</v>
      </c>
      <c r="F195" s="4">
        <f>15916/5</f>
        <v>3183.2</v>
      </c>
      <c r="G195" s="2">
        <f>19745/5</f>
        <v>3949</v>
      </c>
      <c r="H195" s="4">
        <f>12857/5</f>
        <v>2571.4</v>
      </c>
      <c r="I195" s="4">
        <f>17514/5</f>
        <v>3502.8</v>
      </c>
      <c r="J195" s="5" t="s">
        <v>301</v>
      </c>
      <c r="K195" s="6" t="s">
        <v>16</v>
      </c>
    </row>
    <row r="196" spans="1:11" x14ac:dyDescent="0.25">
      <c r="A196" s="9" t="s">
        <v>299</v>
      </c>
      <c r="B196" s="2" t="s">
        <v>300</v>
      </c>
      <c r="C196" s="2" t="s">
        <v>112</v>
      </c>
      <c r="D196" s="4">
        <f>79664/20+2172/20</f>
        <v>4091.7999999999997</v>
      </c>
      <c r="E196" s="4">
        <f>95573/20+2891/20</f>
        <v>4923.2</v>
      </c>
      <c r="F196" s="4">
        <f>14317/5+390/5</f>
        <v>2941.4</v>
      </c>
      <c r="G196" s="4">
        <f>17936/5+455/5</f>
        <v>3678.2</v>
      </c>
      <c r="H196" s="4">
        <f>10908/5+488/5</f>
        <v>2279.1999999999998</v>
      </c>
      <c r="I196" s="4">
        <f>15995/5+437/5</f>
        <v>3286.4</v>
      </c>
      <c r="J196" s="5" t="s">
        <v>20</v>
      </c>
      <c r="K196" s="6" t="s">
        <v>16</v>
      </c>
    </row>
    <row r="197" spans="1:11" x14ac:dyDescent="0.25">
      <c r="A197" s="9" t="s">
        <v>299</v>
      </c>
      <c r="B197" s="2" t="s">
        <v>300</v>
      </c>
      <c r="C197" s="2" t="s">
        <v>112</v>
      </c>
      <c r="D197" s="4">
        <f>5783/20</f>
        <v>289.14999999999998</v>
      </c>
      <c r="E197" s="4">
        <f>3083/20+3525/20</f>
        <v>330.4</v>
      </c>
      <c r="F197" s="4">
        <f>1209/5</f>
        <v>241.8</v>
      </c>
      <c r="G197" s="4">
        <f>670/5+684/5</f>
        <v>270.8</v>
      </c>
      <c r="H197" s="4">
        <f>1461/5</f>
        <v>292.2</v>
      </c>
      <c r="I197" s="4">
        <f>685/5+397/5</f>
        <v>216.4</v>
      </c>
      <c r="J197" s="5" t="s">
        <v>138</v>
      </c>
      <c r="K197" s="6" t="s">
        <v>16</v>
      </c>
    </row>
    <row r="198" spans="1:11" x14ac:dyDescent="0.25">
      <c r="A198" s="9" t="s">
        <v>302</v>
      </c>
      <c r="B198" s="2" t="s">
        <v>247</v>
      </c>
      <c r="C198" s="2" t="s">
        <v>19</v>
      </c>
      <c r="D198" s="4">
        <f>4447/20</f>
        <v>222.35</v>
      </c>
      <c r="E198" s="4">
        <f>4594/20</f>
        <v>229.7</v>
      </c>
      <c r="F198" s="4">
        <f>903/5</f>
        <v>180.6</v>
      </c>
      <c r="G198" s="4">
        <f>1041/5</f>
        <v>208.2</v>
      </c>
      <c r="H198" s="4">
        <f>712/5</f>
        <v>142.4</v>
      </c>
      <c r="I198" s="4">
        <f>751/5</f>
        <v>150.19999999999999</v>
      </c>
      <c r="J198" s="5" t="s">
        <v>65</v>
      </c>
      <c r="K198" s="6" t="s">
        <v>16</v>
      </c>
    </row>
    <row r="199" spans="1:11" ht="45" x14ac:dyDescent="0.25">
      <c r="A199" s="9" t="s">
        <v>303</v>
      </c>
      <c r="B199" s="2" t="s">
        <v>285</v>
      </c>
      <c r="C199" s="2" t="s">
        <v>19</v>
      </c>
      <c r="D199" s="4">
        <f>7652/20</f>
        <v>382.6</v>
      </c>
      <c r="E199" s="4">
        <f>13621/20</f>
        <v>681.05</v>
      </c>
      <c r="F199" s="4">
        <f>1182/5</f>
        <v>236.4</v>
      </c>
      <c r="G199" s="4">
        <f>2581/5</f>
        <v>516.20000000000005</v>
      </c>
      <c r="H199" s="4">
        <f>517/5</f>
        <v>103.4</v>
      </c>
      <c r="I199" s="4">
        <f>1200/5</f>
        <v>240</v>
      </c>
      <c r="J199" s="5" t="s">
        <v>76</v>
      </c>
      <c r="K199" s="6" t="s">
        <v>16</v>
      </c>
    </row>
    <row r="200" spans="1:11" x14ac:dyDescent="0.25">
      <c r="A200" s="9" t="s">
        <v>303</v>
      </c>
      <c r="B200" s="2" t="s">
        <v>285</v>
      </c>
      <c r="C200" s="2" t="s">
        <v>19</v>
      </c>
      <c r="D200" s="4">
        <f>4462/20</f>
        <v>223.1</v>
      </c>
      <c r="E200" s="4">
        <f>5423/20</f>
        <v>271.14999999999998</v>
      </c>
      <c r="F200" s="4">
        <f>560/5</f>
        <v>112</v>
      </c>
      <c r="G200" s="4">
        <f>534/5</f>
        <v>106.8</v>
      </c>
      <c r="H200" s="4">
        <f>429/5</f>
        <v>85.8</v>
      </c>
      <c r="I200" s="4">
        <f>661/5</f>
        <v>132.19999999999999</v>
      </c>
      <c r="J200" s="5" t="s">
        <v>69</v>
      </c>
      <c r="K200" s="6" t="s">
        <v>16</v>
      </c>
    </row>
    <row r="201" spans="1:11" x14ac:dyDescent="0.25">
      <c r="A201" s="9" t="s">
        <v>303</v>
      </c>
      <c r="B201" s="2" t="s">
        <v>285</v>
      </c>
      <c r="C201" s="2" t="s">
        <v>19</v>
      </c>
      <c r="D201" s="4">
        <f>3190/20</f>
        <v>159.5</v>
      </c>
      <c r="E201" s="4">
        <f>8198/20</f>
        <v>409.9</v>
      </c>
      <c r="F201" s="4">
        <f>622/5</f>
        <v>124.4</v>
      </c>
      <c r="G201" s="4">
        <f>2047/5</f>
        <v>409.4</v>
      </c>
      <c r="H201" s="4">
        <f>88/5</f>
        <v>17.600000000000001</v>
      </c>
      <c r="I201" s="4">
        <f>539/5</f>
        <v>107.8</v>
      </c>
      <c r="J201" s="5" t="s">
        <v>65</v>
      </c>
      <c r="K201" s="6" t="s">
        <v>16</v>
      </c>
    </row>
    <row r="202" spans="1:11" x14ac:dyDescent="0.25">
      <c r="A202" s="9" t="s">
        <v>304</v>
      </c>
      <c r="B202" s="2" t="s">
        <v>40</v>
      </c>
      <c r="C202" s="2" t="s">
        <v>34</v>
      </c>
      <c r="D202" s="4">
        <f>336/20</f>
        <v>16.8</v>
      </c>
      <c r="E202" s="4">
        <f>392/20</f>
        <v>19.600000000000001</v>
      </c>
      <c r="F202" s="4">
        <f>84/5</f>
        <v>16.8</v>
      </c>
      <c r="G202" s="4">
        <f>71/5</f>
        <v>14.2</v>
      </c>
      <c r="H202" s="4" t="s">
        <v>41</v>
      </c>
      <c r="I202" s="4" t="s">
        <v>41</v>
      </c>
      <c r="J202" s="5" t="s">
        <v>42</v>
      </c>
      <c r="K202" s="4" t="s">
        <v>28</v>
      </c>
    </row>
    <row r="203" spans="1:11" x14ac:dyDescent="0.25">
      <c r="A203" s="9" t="s">
        <v>305</v>
      </c>
      <c r="B203" s="2" t="s">
        <v>33</v>
      </c>
      <c r="C203" s="2" t="s">
        <v>34</v>
      </c>
      <c r="D203" s="4">
        <f>354/20</f>
        <v>17.7</v>
      </c>
      <c r="E203" s="4">
        <f>373/20</f>
        <v>18.649999999999999</v>
      </c>
      <c r="F203" s="4">
        <f>42/5</f>
        <v>8.4</v>
      </c>
      <c r="G203" s="4">
        <f>71/5</f>
        <v>14.2</v>
      </c>
      <c r="H203" s="4">
        <f>0/5</f>
        <v>0</v>
      </c>
      <c r="I203" s="4">
        <f>10/5</f>
        <v>2</v>
      </c>
      <c r="J203" s="5" t="s">
        <v>35</v>
      </c>
      <c r="K203" s="4" t="s">
        <v>28</v>
      </c>
    </row>
    <row r="204" spans="1:11" x14ac:dyDescent="0.25">
      <c r="A204" s="9" t="s">
        <v>306</v>
      </c>
      <c r="B204" s="2" t="s">
        <v>237</v>
      </c>
      <c r="C204" s="2" t="s">
        <v>34</v>
      </c>
      <c r="D204" s="4">
        <f>382/20</f>
        <v>19.100000000000001</v>
      </c>
      <c r="E204" s="4">
        <f>368/20</f>
        <v>18.399999999999999</v>
      </c>
      <c r="F204" s="4">
        <f>46/5</f>
        <v>9.1999999999999993</v>
      </c>
      <c r="G204" s="4">
        <f>50/5</f>
        <v>10</v>
      </c>
      <c r="H204" s="4" t="s">
        <v>41</v>
      </c>
      <c r="I204" s="4" t="s">
        <v>41</v>
      </c>
      <c r="J204" s="5" t="s">
        <v>91</v>
      </c>
      <c r="K204" s="4" t="s">
        <v>28</v>
      </c>
    </row>
    <row r="205" spans="1:11" x14ac:dyDescent="0.25">
      <c r="A205" s="9" t="s">
        <v>307</v>
      </c>
      <c r="B205" s="2" t="s">
        <v>308</v>
      </c>
      <c r="C205" s="2" t="s">
        <v>19</v>
      </c>
      <c r="D205" s="4">
        <f>3206/20</f>
        <v>160.30000000000001</v>
      </c>
      <c r="E205" s="4">
        <f>3445/20</f>
        <v>172.25</v>
      </c>
      <c r="F205" s="4">
        <f>777/5</f>
        <v>155.4</v>
      </c>
      <c r="G205" s="4">
        <f>761/5</f>
        <v>152.19999999999999</v>
      </c>
      <c r="H205" s="4">
        <f>229/5</f>
        <v>45.8</v>
      </c>
      <c r="I205" s="4">
        <f>279/5</f>
        <v>55.8</v>
      </c>
      <c r="J205" s="5" t="s">
        <v>45</v>
      </c>
      <c r="K205" s="4" t="s">
        <v>28</v>
      </c>
    </row>
    <row r="206" spans="1:11" x14ac:dyDescent="0.25">
      <c r="A206" s="9" t="s">
        <v>309</v>
      </c>
      <c r="B206" s="2" t="s">
        <v>235</v>
      </c>
      <c r="C206" s="2" t="s">
        <v>19</v>
      </c>
      <c r="D206" s="4">
        <f>5835/20</f>
        <v>291.75</v>
      </c>
      <c r="E206" s="4">
        <f>5445/20</f>
        <v>272.25</v>
      </c>
      <c r="F206" s="4">
        <f>980/5</f>
        <v>196</v>
      </c>
      <c r="G206" s="4">
        <f>1047/5</f>
        <v>209.4</v>
      </c>
      <c r="H206" s="4">
        <f>700/5</f>
        <v>140</v>
      </c>
      <c r="I206" s="4">
        <f>689/5</f>
        <v>137.80000000000001</v>
      </c>
      <c r="J206" s="5" t="s">
        <v>65</v>
      </c>
      <c r="K206" s="6" t="s">
        <v>16</v>
      </c>
    </row>
    <row r="207" spans="1:11" x14ac:dyDescent="0.25">
      <c r="A207" s="9" t="s">
        <v>310</v>
      </c>
      <c r="B207" s="2" t="s">
        <v>185</v>
      </c>
      <c r="C207" s="2" t="s">
        <v>23</v>
      </c>
      <c r="D207" s="4">
        <f>7823/20</f>
        <v>391.15</v>
      </c>
      <c r="E207" s="4">
        <f>8102/20</f>
        <v>405.1</v>
      </c>
      <c r="F207" s="4">
        <f>1149/5</f>
        <v>229.8</v>
      </c>
      <c r="G207" s="4">
        <f>1212/5</f>
        <v>242.4</v>
      </c>
      <c r="H207" s="4">
        <f>422/5</f>
        <v>84.4</v>
      </c>
      <c r="I207" s="4">
        <f>526/5</f>
        <v>105.2</v>
      </c>
      <c r="J207" s="6" t="s">
        <v>70</v>
      </c>
      <c r="K207" s="6" t="s">
        <v>16</v>
      </c>
    </row>
    <row r="208" spans="1:11" ht="60" x14ac:dyDescent="0.25">
      <c r="A208" s="9" t="s">
        <v>311</v>
      </c>
      <c r="B208" s="2" t="s">
        <v>312</v>
      </c>
      <c r="C208" s="2" t="s">
        <v>198</v>
      </c>
      <c r="D208" s="4">
        <f>13291/20</f>
        <v>664.55</v>
      </c>
      <c r="E208" s="4">
        <f>18742/20</f>
        <v>937.1</v>
      </c>
      <c r="F208" s="4">
        <f>2642/5</f>
        <v>528.4</v>
      </c>
      <c r="G208" s="4">
        <f>3279/5</f>
        <v>655.8</v>
      </c>
      <c r="H208" s="4">
        <f>1203/5</f>
        <v>240.6</v>
      </c>
      <c r="I208" s="4">
        <f>1459/5</f>
        <v>291.8</v>
      </c>
      <c r="J208" s="6" t="s">
        <v>313</v>
      </c>
      <c r="K208" s="6" t="s">
        <v>16</v>
      </c>
    </row>
    <row r="209" spans="1:11" x14ac:dyDescent="0.25">
      <c r="A209" s="9" t="s">
        <v>311</v>
      </c>
      <c r="B209" s="2" t="s">
        <v>312</v>
      </c>
      <c r="C209" s="2" t="s">
        <v>198</v>
      </c>
      <c r="D209" s="4">
        <f>2401/20</f>
        <v>120.05</v>
      </c>
      <c r="E209" s="4">
        <f>3362/20</f>
        <v>168.1</v>
      </c>
      <c r="F209" s="4">
        <f>347/5</f>
        <v>69.400000000000006</v>
      </c>
      <c r="G209" s="4">
        <f>509/5</f>
        <v>101.8</v>
      </c>
      <c r="H209" s="4" t="s">
        <v>195</v>
      </c>
      <c r="I209" s="4" t="s">
        <v>195</v>
      </c>
      <c r="J209" s="5" t="s">
        <v>203</v>
      </c>
      <c r="K209" s="6" t="s">
        <v>16</v>
      </c>
    </row>
    <row r="210" spans="1:11" x14ac:dyDescent="0.25">
      <c r="A210" s="9" t="s">
        <v>311</v>
      </c>
      <c r="B210" s="2" t="s">
        <v>312</v>
      </c>
      <c r="C210" s="2" t="s">
        <v>198</v>
      </c>
      <c r="D210" s="4">
        <f>10890/20</f>
        <v>544.5</v>
      </c>
      <c r="E210" s="4">
        <f>15380/20</f>
        <v>769</v>
      </c>
      <c r="F210" s="4">
        <f>2295/5</f>
        <v>459</v>
      </c>
      <c r="G210" s="4">
        <f>2770/5</f>
        <v>554</v>
      </c>
      <c r="H210" s="4">
        <f>1203/5</f>
        <v>240.6</v>
      </c>
      <c r="I210" s="4">
        <f>1459/5</f>
        <v>291.8</v>
      </c>
      <c r="J210" s="2" t="s">
        <v>71</v>
      </c>
      <c r="K210" s="6" t="s">
        <v>16</v>
      </c>
    </row>
    <row r="211" spans="1:11" x14ac:dyDescent="0.25">
      <c r="A211" s="9" t="s">
        <v>314</v>
      </c>
      <c r="B211" s="2" t="s">
        <v>56</v>
      </c>
      <c r="C211" s="2" t="s">
        <v>19</v>
      </c>
      <c r="D211" s="4">
        <f>230/20</f>
        <v>11.5</v>
      </c>
      <c r="E211" s="4">
        <f>204/20</f>
        <v>10.199999999999999</v>
      </c>
      <c r="F211" s="4">
        <f>77/5</f>
        <v>15.4</v>
      </c>
      <c r="G211" s="4">
        <f>86/5</f>
        <v>17.2</v>
      </c>
      <c r="H211" s="4">
        <f>27/5</f>
        <v>5.4</v>
      </c>
      <c r="I211" s="4">
        <v>6</v>
      </c>
      <c r="J211" s="5" t="s">
        <v>57</v>
      </c>
      <c r="K211" s="6" t="s">
        <v>16</v>
      </c>
    </row>
    <row r="212" spans="1:11" x14ac:dyDescent="0.25">
      <c r="A212" s="9" t="s">
        <v>315</v>
      </c>
      <c r="B212" s="2" t="s">
        <v>308</v>
      </c>
      <c r="C212" s="2" t="s">
        <v>19</v>
      </c>
      <c r="D212" s="4">
        <f>2687/20</f>
        <v>134.35</v>
      </c>
      <c r="E212" s="4">
        <f>2661/20</f>
        <v>133.05000000000001</v>
      </c>
      <c r="F212" s="4">
        <f>640/5</f>
        <v>128</v>
      </c>
      <c r="G212" s="4">
        <f>551/5</f>
        <v>110.2</v>
      </c>
      <c r="H212" s="4">
        <f>86/5</f>
        <v>17.2</v>
      </c>
      <c r="I212" s="4">
        <f>67/5</f>
        <v>13.4</v>
      </c>
      <c r="J212" s="5" t="s">
        <v>45</v>
      </c>
      <c r="K212" s="4" t="s">
        <v>28</v>
      </c>
    </row>
    <row r="213" spans="1:11" x14ac:dyDescent="0.25">
      <c r="A213" s="9" t="s">
        <v>316</v>
      </c>
      <c r="B213" s="2" t="s">
        <v>95</v>
      </c>
      <c r="C213" s="2" t="s">
        <v>19</v>
      </c>
      <c r="D213" s="4">
        <f>303/20</f>
        <v>15.15</v>
      </c>
      <c r="E213" s="4">
        <f>488/20</f>
        <v>24.4</v>
      </c>
      <c r="F213" s="4">
        <f>16/5</f>
        <v>3.2</v>
      </c>
      <c r="G213" s="4">
        <f>25/5</f>
        <v>5</v>
      </c>
      <c r="H213" s="4">
        <f>25/5</f>
        <v>5</v>
      </c>
      <c r="I213" s="4">
        <f>13/5</f>
        <v>2.6</v>
      </c>
      <c r="J213" s="5" t="s">
        <v>65</v>
      </c>
      <c r="K213" s="6" t="s">
        <v>16</v>
      </c>
    </row>
    <row r="214" spans="1:11" x14ac:dyDescent="0.25">
      <c r="A214" s="9" t="s">
        <v>317</v>
      </c>
      <c r="B214" s="2" t="s">
        <v>181</v>
      </c>
      <c r="C214" s="2" t="s">
        <v>23</v>
      </c>
      <c r="D214" s="4">
        <f>190/20</f>
        <v>9.5</v>
      </c>
      <c r="E214" s="4">
        <f>340/20</f>
        <v>17</v>
      </c>
      <c r="F214" s="4">
        <f>11/5</f>
        <v>2.2000000000000002</v>
      </c>
      <c r="G214" s="4">
        <f>9/5</f>
        <v>1.8</v>
      </c>
      <c r="H214" s="4">
        <f>9/5</f>
        <v>1.8</v>
      </c>
      <c r="I214" s="4">
        <f>10/5</f>
        <v>2</v>
      </c>
      <c r="J214" s="6" t="s">
        <v>70</v>
      </c>
      <c r="K214" s="6" t="s">
        <v>16</v>
      </c>
    </row>
    <row r="215" spans="1:11" x14ac:dyDescent="0.25">
      <c r="A215" s="9" t="s">
        <v>318</v>
      </c>
      <c r="B215" s="2" t="s">
        <v>319</v>
      </c>
      <c r="C215" s="2" t="s">
        <v>112</v>
      </c>
      <c r="D215" s="4">
        <f>462/20</f>
        <v>23.1</v>
      </c>
      <c r="E215" s="4">
        <f>703/20</f>
        <v>35.15</v>
      </c>
      <c r="F215" s="2">
        <f>50/5</f>
        <v>10</v>
      </c>
      <c r="G215" s="4">
        <f>94/5</f>
        <v>18.8</v>
      </c>
      <c r="H215" s="4">
        <f>41/5</f>
        <v>8.1999999999999993</v>
      </c>
      <c r="I215" s="4">
        <f>63/5</f>
        <v>12.6</v>
      </c>
      <c r="J215" s="5" t="s">
        <v>20</v>
      </c>
      <c r="K215" s="6" t="s">
        <v>16</v>
      </c>
    </row>
    <row r="216" spans="1:11" x14ac:dyDescent="0.25">
      <c r="A216" s="9" t="s">
        <v>320</v>
      </c>
      <c r="B216" s="2" t="s">
        <v>56</v>
      </c>
      <c r="C216" s="2" t="s">
        <v>19</v>
      </c>
      <c r="D216" s="4">
        <f>16809/20</f>
        <v>840.45</v>
      </c>
      <c r="E216" s="4">
        <f>20993/20</f>
        <v>1049.6500000000001</v>
      </c>
      <c r="F216" s="4">
        <f>3219/5</f>
        <v>643.79999999999995</v>
      </c>
      <c r="G216" s="4">
        <f>3747/5</f>
        <v>749.4</v>
      </c>
      <c r="H216" s="4">
        <f>1943/5</f>
        <v>388.6</v>
      </c>
      <c r="I216" s="4">
        <f>2769/5</f>
        <v>553.79999999999995</v>
      </c>
      <c r="J216" s="5" t="s">
        <v>65</v>
      </c>
      <c r="K216" s="6" t="s">
        <v>16</v>
      </c>
    </row>
    <row r="217" spans="1:11" ht="45" x14ac:dyDescent="0.25">
      <c r="A217" s="9" t="s">
        <v>321</v>
      </c>
      <c r="B217" s="2" t="s">
        <v>322</v>
      </c>
      <c r="C217" s="2" t="s">
        <v>23</v>
      </c>
      <c r="D217" s="4">
        <f>12148/20</f>
        <v>607.4</v>
      </c>
      <c r="E217" s="4">
        <f>14711/20</f>
        <v>735.55</v>
      </c>
      <c r="F217" s="4">
        <f>1714/5</f>
        <v>342.8</v>
      </c>
      <c r="G217" s="4">
        <f>2035/5</f>
        <v>407</v>
      </c>
      <c r="H217" s="4">
        <f>895/5</f>
        <v>179</v>
      </c>
      <c r="I217" s="4">
        <f>761/5</f>
        <v>152.19999999999999</v>
      </c>
      <c r="J217" s="6" t="s">
        <v>323</v>
      </c>
      <c r="K217" s="6" t="s">
        <v>16</v>
      </c>
    </row>
    <row r="218" spans="1:11" x14ac:dyDescent="0.25">
      <c r="A218" s="9" t="s">
        <v>321</v>
      </c>
      <c r="B218" s="2" t="s">
        <v>322</v>
      </c>
      <c r="C218" s="2" t="s">
        <v>23</v>
      </c>
      <c r="D218" s="4">
        <f>4221/20</f>
        <v>211.05</v>
      </c>
      <c r="E218" s="4">
        <f>6355/20</f>
        <v>317.75</v>
      </c>
      <c r="F218" s="4">
        <f>677/5</f>
        <v>135.4</v>
      </c>
      <c r="G218" s="4">
        <f>1167/5</f>
        <v>233.4</v>
      </c>
      <c r="H218" s="4">
        <f>245/5</f>
        <v>49</v>
      </c>
      <c r="I218" s="4">
        <f>194/5</f>
        <v>38.799999999999997</v>
      </c>
      <c r="J218" s="5" t="s">
        <v>73</v>
      </c>
      <c r="K218" s="6" t="s">
        <v>16</v>
      </c>
    </row>
    <row r="219" spans="1:11" x14ac:dyDescent="0.25">
      <c r="A219" s="9" t="s">
        <v>321</v>
      </c>
      <c r="B219" s="2" t="s">
        <v>322</v>
      </c>
      <c r="C219" s="2" t="s">
        <v>23</v>
      </c>
      <c r="D219" s="4">
        <f>7927/20</f>
        <v>396.35</v>
      </c>
      <c r="E219" s="4">
        <f>8356/20</f>
        <v>417.8</v>
      </c>
      <c r="F219" s="4">
        <f>1037/5</f>
        <v>207.4</v>
      </c>
      <c r="G219" s="4">
        <f>868/5</f>
        <v>173.6</v>
      </c>
      <c r="H219" s="4">
        <f>650/5</f>
        <v>130</v>
      </c>
      <c r="I219" s="4">
        <f>567/5</f>
        <v>113.4</v>
      </c>
      <c r="J219" s="5" t="s">
        <v>15</v>
      </c>
      <c r="K219" s="6" t="s">
        <v>16</v>
      </c>
    </row>
    <row r="220" spans="1:11" ht="30" x14ac:dyDescent="0.25">
      <c r="A220" s="9" t="s">
        <v>324</v>
      </c>
      <c r="B220" s="2" t="s">
        <v>165</v>
      </c>
      <c r="C220" s="2" t="s">
        <v>34</v>
      </c>
      <c r="D220" s="4">
        <f>830/5</f>
        <v>166</v>
      </c>
      <c r="E220" s="4">
        <f>1233/5</f>
        <v>246.6</v>
      </c>
      <c r="F220" s="4">
        <f>117/5</f>
        <v>23.4</v>
      </c>
      <c r="G220" s="4">
        <f>179/5</f>
        <v>35.799999999999997</v>
      </c>
      <c r="H220" s="4">
        <f>3/5</f>
        <v>0.6</v>
      </c>
      <c r="I220" s="4">
        <f>28/5</f>
        <v>5.6</v>
      </c>
      <c r="J220" s="5" t="s">
        <v>129</v>
      </c>
      <c r="K220" s="4" t="s">
        <v>28</v>
      </c>
    </row>
    <row r="221" spans="1:11" x14ac:dyDescent="0.25">
      <c r="A221" s="9" t="s">
        <v>325</v>
      </c>
      <c r="B221" s="2" t="s">
        <v>326</v>
      </c>
      <c r="C221" s="2" t="s">
        <v>34</v>
      </c>
      <c r="D221" s="4">
        <f>166/20</f>
        <v>8.3000000000000007</v>
      </c>
      <c r="E221" s="4">
        <f>173/20</f>
        <v>8.65</v>
      </c>
      <c r="F221" s="4">
        <f>18/5</f>
        <v>3.6</v>
      </c>
      <c r="G221" s="4">
        <f>48/5</f>
        <v>9.6</v>
      </c>
      <c r="H221" s="4">
        <f>0/5</f>
        <v>0</v>
      </c>
      <c r="I221" s="4">
        <f>0/5</f>
        <v>0</v>
      </c>
      <c r="J221" s="5" t="s">
        <v>35</v>
      </c>
      <c r="K221" s="4" t="s">
        <v>28</v>
      </c>
    </row>
    <row r="222" spans="1:11" x14ac:dyDescent="0.25">
      <c r="A222" s="9" t="s">
        <v>327</v>
      </c>
      <c r="B222" s="2" t="s">
        <v>181</v>
      </c>
      <c r="C222" s="2" t="s">
        <v>23</v>
      </c>
      <c r="D222" s="1">
        <f>269/20</f>
        <v>13.45</v>
      </c>
      <c r="E222" s="4">
        <f>295/20</f>
        <v>14.75</v>
      </c>
      <c r="F222" s="4">
        <f>73/5</f>
        <v>14.6</v>
      </c>
      <c r="G222" s="4">
        <f>46/5</f>
        <v>9.1999999999999993</v>
      </c>
      <c r="H222" s="4" t="s">
        <v>41</v>
      </c>
      <c r="I222" s="4" t="s">
        <v>41</v>
      </c>
      <c r="J222" s="5" t="s">
        <v>175</v>
      </c>
      <c r="K222" s="4" t="s">
        <v>28</v>
      </c>
    </row>
    <row r="223" spans="1:11" x14ac:dyDescent="0.25">
      <c r="A223" s="9" t="s">
        <v>328</v>
      </c>
      <c r="B223" s="2" t="s">
        <v>25</v>
      </c>
      <c r="C223" s="2" t="s">
        <v>26</v>
      </c>
      <c r="D223" s="4">
        <f>1133/20</f>
        <v>56.65</v>
      </c>
      <c r="E223" s="4">
        <f>1457/20</f>
        <v>72.849999999999994</v>
      </c>
      <c r="F223" s="4">
        <f>206/5</f>
        <v>41.2</v>
      </c>
      <c r="G223" s="4">
        <f>240/5</f>
        <v>48</v>
      </c>
      <c r="H223" s="4">
        <f>55/5</f>
        <v>11</v>
      </c>
      <c r="I223" s="4">
        <f>61/5</f>
        <v>12.2</v>
      </c>
      <c r="J223" s="2" t="s">
        <v>121</v>
      </c>
      <c r="K223" s="6" t="s">
        <v>16</v>
      </c>
    </row>
    <row r="224" spans="1:11" x14ac:dyDescent="0.25">
      <c r="A224" s="9" t="s">
        <v>329</v>
      </c>
      <c r="B224" s="2" t="s">
        <v>330</v>
      </c>
      <c r="C224" s="2" t="s">
        <v>198</v>
      </c>
      <c r="D224" s="4">
        <f>640/20</f>
        <v>32</v>
      </c>
      <c r="E224" s="4">
        <f>809/20</f>
        <v>40.450000000000003</v>
      </c>
      <c r="F224" s="4">
        <f>104/5</f>
        <v>20.8</v>
      </c>
      <c r="G224" s="4">
        <f>128/5</f>
        <v>25.6</v>
      </c>
      <c r="H224" s="4" t="s">
        <v>41</v>
      </c>
      <c r="I224" s="4" t="s">
        <v>41</v>
      </c>
      <c r="J224" s="5" t="s">
        <v>88</v>
      </c>
      <c r="K224" s="4" t="s">
        <v>28</v>
      </c>
    </row>
    <row r="225" spans="1:11" ht="45" x14ac:dyDescent="0.25">
      <c r="A225" s="9" t="s">
        <v>331</v>
      </c>
      <c r="B225" s="2" t="s">
        <v>285</v>
      </c>
      <c r="C225" s="2" t="s">
        <v>19</v>
      </c>
      <c r="D225" s="4">
        <f>7132/20</f>
        <v>356.6</v>
      </c>
      <c r="E225" s="4">
        <f>7666/20</f>
        <v>383.3</v>
      </c>
      <c r="F225" s="4">
        <f>1026/5</f>
        <v>205.2</v>
      </c>
      <c r="G225" s="4">
        <f>1088/5</f>
        <v>217.6</v>
      </c>
      <c r="H225" s="4">
        <f>469/5</f>
        <v>93.8</v>
      </c>
      <c r="I225" s="4">
        <f>555/5</f>
        <v>111</v>
      </c>
      <c r="J225" s="5" t="s">
        <v>76</v>
      </c>
      <c r="K225" s="6" t="s">
        <v>16</v>
      </c>
    </row>
    <row r="226" spans="1:11" x14ac:dyDescent="0.25">
      <c r="A226" s="9" t="s">
        <v>331</v>
      </c>
      <c r="B226" s="2" t="s">
        <v>285</v>
      </c>
      <c r="C226" s="2" t="s">
        <v>19</v>
      </c>
      <c r="D226" s="4">
        <f>3382/20</f>
        <v>169.1</v>
      </c>
      <c r="E226" s="4">
        <f>3854/20</f>
        <v>192.7</v>
      </c>
      <c r="F226" s="4">
        <f>385/5</f>
        <v>77</v>
      </c>
      <c r="G226" s="4">
        <f>415/5</f>
        <v>83</v>
      </c>
      <c r="H226" s="4">
        <f>330/5</f>
        <v>66</v>
      </c>
      <c r="I226" s="4">
        <f>352/5</f>
        <v>70.400000000000006</v>
      </c>
      <c r="J226" s="5" t="s">
        <v>69</v>
      </c>
      <c r="K226" s="6" t="s">
        <v>16</v>
      </c>
    </row>
    <row r="227" spans="1:11" x14ac:dyDescent="0.25">
      <c r="A227" s="9" t="s">
        <v>331</v>
      </c>
      <c r="B227" s="2" t="s">
        <v>285</v>
      </c>
      <c r="C227" s="2" t="s">
        <v>19</v>
      </c>
      <c r="D227" s="4">
        <f>3750/20</f>
        <v>187.5</v>
      </c>
      <c r="E227" s="4">
        <f>3812/20</f>
        <v>190.6</v>
      </c>
      <c r="F227" s="4">
        <f>641/5</f>
        <v>128.19999999999999</v>
      </c>
      <c r="G227" s="4">
        <f>673/5</f>
        <v>134.6</v>
      </c>
      <c r="H227" s="4">
        <f>139/5</f>
        <v>27.8</v>
      </c>
      <c r="I227" s="4">
        <f>203/5</f>
        <v>40.6</v>
      </c>
      <c r="J227" s="5" t="s">
        <v>65</v>
      </c>
      <c r="K227" s="6" t="s">
        <v>16</v>
      </c>
    </row>
    <row r="228" spans="1:11" ht="45" x14ac:dyDescent="0.25">
      <c r="A228" s="9" t="s">
        <v>332</v>
      </c>
      <c r="B228" s="2" t="s">
        <v>172</v>
      </c>
      <c r="C228" s="2" t="s">
        <v>14</v>
      </c>
      <c r="D228" s="4">
        <f>72069/20</f>
        <v>3603.45</v>
      </c>
      <c r="E228" s="4">
        <f>70954/20</f>
        <v>3547.7</v>
      </c>
      <c r="F228" s="4">
        <f>13698/5</f>
        <v>2739.6</v>
      </c>
      <c r="G228" s="4">
        <f>14489/5</f>
        <v>2897.8</v>
      </c>
      <c r="H228" s="4">
        <f>10630/5</f>
        <v>2126</v>
      </c>
      <c r="I228" s="4">
        <f>9436/5</f>
        <v>1887.2</v>
      </c>
      <c r="J228" s="5" t="s">
        <v>333</v>
      </c>
      <c r="K228" s="6" t="s">
        <v>16</v>
      </c>
    </row>
    <row r="229" spans="1:11" x14ac:dyDescent="0.25">
      <c r="A229" s="9" t="s">
        <v>332</v>
      </c>
      <c r="B229" s="2" t="s">
        <v>172</v>
      </c>
      <c r="C229" s="2" t="s">
        <v>14</v>
      </c>
      <c r="D229" s="4">
        <f>54523/20</f>
        <v>2726.15</v>
      </c>
      <c r="E229" s="4">
        <f>54828/20</f>
        <v>2741.4</v>
      </c>
      <c r="F229" s="4">
        <f>10574/5</f>
        <v>2114.8000000000002</v>
      </c>
      <c r="G229" s="4">
        <f>11186/5</f>
        <v>2237.1999999999998</v>
      </c>
      <c r="H229" s="4">
        <f>8541/5</f>
        <v>1708.2</v>
      </c>
      <c r="I229" s="4">
        <f>7441/5</f>
        <v>1488.2</v>
      </c>
      <c r="J229" s="5" t="s">
        <v>31</v>
      </c>
      <c r="K229" s="6" t="s">
        <v>16</v>
      </c>
    </row>
    <row r="230" spans="1:11" x14ac:dyDescent="0.25">
      <c r="A230" s="9" t="s">
        <v>332</v>
      </c>
      <c r="B230" s="2" t="s">
        <v>172</v>
      </c>
      <c r="C230" s="2" t="s">
        <v>14</v>
      </c>
      <c r="D230" s="4">
        <f>17546/20</f>
        <v>877.3</v>
      </c>
      <c r="E230" s="4">
        <f>16126/20</f>
        <v>806.3</v>
      </c>
      <c r="F230" s="4">
        <f>3124/5</f>
        <v>624.79999999999995</v>
      </c>
      <c r="G230" s="4">
        <f>3303/5</f>
        <v>660.6</v>
      </c>
      <c r="H230" s="4">
        <f>2089/5</f>
        <v>417.8</v>
      </c>
      <c r="I230" s="4">
        <f>1995/5</f>
        <v>399</v>
      </c>
      <c r="J230" s="5" t="s">
        <v>15</v>
      </c>
      <c r="K230" s="6" t="s">
        <v>16</v>
      </c>
    </row>
    <row r="231" spans="1:11" x14ac:dyDescent="0.25">
      <c r="A231" s="9" t="s">
        <v>334</v>
      </c>
      <c r="B231" s="2" t="s">
        <v>326</v>
      </c>
      <c r="C231" s="2" t="s">
        <v>34</v>
      </c>
      <c r="D231" s="4">
        <f>619/20</f>
        <v>30.95</v>
      </c>
      <c r="E231" s="4">
        <f>718/20</f>
        <v>35.9</v>
      </c>
      <c r="F231" s="4">
        <f>62/5</f>
        <v>12.4</v>
      </c>
      <c r="G231" s="4">
        <f>122/5</f>
        <v>24.4</v>
      </c>
      <c r="H231" s="4" t="s">
        <v>41</v>
      </c>
      <c r="I231" s="4" t="s">
        <v>41</v>
      </c>
      <c r="J231" s="5" t="s">
        <v>42</v>
      </c>
      <c r="K231" s="4" t="s">
        <v>28</v>
      </c>
    </row>
    <row r="232" spans="1:11" ht="90" x14ac:dyDescent="0.25">
      <c r="A232" s="9" t="s">
        <v>335</v>
      </c>
      <c r="B232" s="2" t="s">
        <v>326</v>
      </c>
      <c r="C232" s="2" t="s">
        <v>34</v>
      </c>
      <c r="D232" s="4">
        <f>134546/20</f>
        <v>6727.3</v>
      </c>
      <c r="E232" s="4">
        <f>117152/20</f>
        <v>5857.6</v>
      </c>
      <c r="F232" s="4">
        <f>27525/5</f>
        <v>5505</v>
      </c>
      <c r="G232" s="4">
        <f>23884/5</f>
        <v>4776.8</v>
      </c>
      <c r="H232" s="4">
        <f>15358/5</f>
        <v>3071.6</v>
      </c>
      <c r="I232" s="4">
        <f>14081/5</f>
        <v>2816.2</v>
      </c>
      <c r="J232" s="5" t="s">
        <v>336</v>
      </c>
      <c r="K232" s="6" t="s">
        <v>16</v>
      </c>
    </row>
    <row r="233" spans="1:11" x14ac:dyDescent="0.25">
      <c r="A233" s="9" t="s">
        <v>335</v>
      </c>
      <c r="B233" s="2" t="s">
        <v>326</v>
      </c>
      <c r="C233" s="2" t="s">
        <v>34</v>
      </c>
      <c r="D233" s="4">
        <f>102135/20</f>
        <v>5106.75</v>
      </c>
      <c r="E233" s="4">
        <f>88953/20</f>
        <v>4447.6499999999996</v>
      </c>
      <c r="F233" s="4">
        <f>21618/5</f>
        <v>4323.6000000000004</v>
      </c>
      <c r="G233" s="4">
        <f>18350/5</f>
        <v>3670</v>
      </c>
      <c r="H233" s="4">
        <f>14647/5</f>
        <v>2929.4</v>
      </c>
      <c r="I233" s="4">
        <f>13904/5</f>
        <v>2780.8</v>
      </c>
      <c r="J233" s="5" t="s">
        <v>20</v>
      </c>
      <c r="K233" s="6" t="s">
        <v>16</v>
      </c>
    </row>
    <row r="234" spans="1:11" x14ac:dyDescent="0.25">
      <c r="A234" s="9" t="s">
        <v>335</v>
      </c>
      <c r="B234" s="2" t="s">
        <v>326</v>
      </c>
      <c r="C234" s="2" t="s">
        <v>34</v>
      </c>
      <c r="D234" s="4">
        <f>10965/20</f>
        <v>548.25</v>
      </c>
      <c r="E234" s="4">
        <f>9474/20</f>
        <v>473.7</v>
      </c>
      <c r="F234" s="4">
        <f>2300/5</f>
        <v>460</v>
      </c>
      <c r="G234" s="4">
        <f>1669/5</f>
        <v>333.8</v>
      </c>
      <c r="H234" s="4" t="s">
        <v>195</v>
      </c>
      <c r="I234" s="4" t="s">
        <v>195</v>
      </c>
      <c r="J234" s="5" t="s">
        <v>42</v>
      </c>
      <c r="K234" s="6" t="s">
        <v>16</v>
      </c>
    </row>
    <row r="235" spans="1:11" x14ac:dyDescent="0.25">
      <c r="A235" s="9" t="s">
        <v>335</v>
      </c>
      <c r="B235" s="2" t="s">
        <v>326</v>
      </c>
      <c r="C235" s="2" t="s">
        <v>34</v>
      </c>
      <c r="D235" s="4">
        <f>9011/20</f>
        <v>450.55</v>
      </c>
      <c r="E235" s="4">
        <f>7857/20</f>
        <v>392.85</v>
      </c>
      <c r="F235" s="4">
        <f>2050/5</f>
        <v>410</v>
      </c>
      <c r="G235" s="4">
        <f>2188/5</f>
        <v>437.6</v>
      </c>
      <c r="H235" s="4">
        <f>322/5</f>
        <v>64.400000000000006</v>
      </c>
      <c r="I235" s="4">
        <f>101/5</f>
        <v>20.2</v>
      </c>
      <c r="J235" s="5" t="s">
        <v>35</v>
      </c>
      <c r="K235" s="6" t="s">
        <v>16</v>
      </c>
    </row>
    <row r="236" spans="1:11" ht="30" x14ac:dyDescent="0.25">
      <c r="A236" s="9" t="s">
        <v>335</v>
      </c>
      <c r="B236" s="2" t="s">
        <v>326</v>
      </c>
      <c r="C236" s="2" t="s">
        <v>34</v>
      </c>
      <c r="D236" s="4">
        <f>12435/20</f>
        <v>621.75</v>
      </c>
      <c r="E236" s="4">
        <f>10868/20</f>
        <v>543.4</v>
      </c>
      <c r="F236" s="4">
        <f>1557/5</f>
        <v>311.39999999999998</v>
      </c>
      <c r="G236" s="4">
        <f>1677/5</f>
        <v>335.4</v>
      </c>
      <c r="H236" s="4">
        <f>389/5</f>
        <v>77.8</v>
      </c>
      <c r="I236" s="4">
        <f>76/5</f>
        <v>15.2</v>
      </c>
      <c r="J236" s="5" t="s">
        <v>337</v>
      </c>
      <c r="K236" s="6" t="s">
        <v>16</v>
      </c>
    </row>
    <row r="237" spans="1:11" x14ac:dyDescent="0.25">
      <c r="A237" s="9" t="s">
        <v>338</v>
      </c>
      <c r="B237" s="2" t="s">
        <v>326</v>
      </c>
      <c r="C237" s="2" t="s">
        <v>34</v>
      </c>
      <c r="D237" s="4">
        <f>638/20</f>
        <v>31.9</v>
      </c>
      <c r="E237" s="4">
        <f>830/20</f>
        <v>41.5</v>
      </c>
      <c r="F237" s="4">
        <f>123/5</f>
        <v>24.6</v>
      </c>
      <c r="G237" s="4">
        <f>115/5</f>
        <v>23</v>
      </c>
      <c r="H237" s="4">
        <f>41/5</f>
        <v>8.1999999999999993</v>
      </c>
      <c r="I237" s="4">
        <f>7/5</f>
        <v>1.4</v>
      </c>
      <c r="J237" s="5" t="s">
        <v>35</v>
      </c>
      <c r="K237" s="4" t="s">
        <v>28</v>
      </c>
    </row>
    <row r="238" spans="1:11" ht="30" x14ac:dyDescent="0.25">
      <c r="A238" s="9" t="s">
        <v>339</v>
      </c>
      <c r="B238" s="2" t="s">
        <v>326</v>
      </c>
      <c r="C238" s="2" t="s">
        <v>34</v>
      </c>
      <c r="D238" s="4">
        <f>696/20</f>
        <v>34.799999999999997</v>
      </c>
      <c r="E238" s="4">
        <f>777/20</f>
        <v>38.85</v>
      </c>
      <c r="F238" s="4">
        <f>88/5</f>
        <v>17.600000000000001</v>
      </c>
      <c r="G238" s="4">
        <f>100/5</f>
        <v>20</v>
      </c>
      <c r="H238" s="4">
        <f>10/5</f>
        <v>2</v>
      </c>
      <c r="I238" s="4">
        <f>2/5</f>
        <v>0.4</v>
      </c>
      <c r="J238" s="5" t="s">
        <v>129</v>
      </c>
      <c r="K238" s="4" t="s">
        <v>28</v>
      </c>
    </row>
    <row r="239" spans="1:11" x14ac:dyDescent="0.25">
      <c r="A239" s="9" t="s">
        <v>340</v>
      </c>
      <c r="B239" s="2" t="s">
        <v>326</v>
      </c>
      <c r="C239" s="2" t="s">
        <v>34</v>
      </c>
      <c r="D239" s="4">
        <f>3011/20</f>
        <v>150.55000000000001</v>
      </c>
      <c r="E239" s="4">
        <f>3296/20</f>
        <v>164.8</v>
      </c>
      <c r="F239" s="4">
        <f>497/5</f>
        <v>99.4</v>
      </c>
      <c r="G239" s="4">
        <f>661/5</f>
        <v>132.19999999999999</v>
      </c>
      <c r="H239" s="4">
        <f>57/5</f>
        <v>11.4</v>
      </c>
      <c r="I239" s="4">
        <f>8/5</f>
        <v>1.6</v>
      </c>
      <c r="J239" s="5" t="s">
        <v>35</v>
      </c>
      <c r="K239" s="4" t="s">
        <v>28</v>
      </c>
    </row>
    <row r="240" spans="1:11" x14ac:dyDescent="0.25">
      <c r="A240" s="9" t="s">
        <v>341</v>
      </c>
      <c r="B240" s="2" t="s">
        <v>326</v>
      </c>
      <c r="C240" s="2" t="s">
        <v>34</v>
      </c>
      <c r="D240" s="4">
        <f>249/20</f>
        <v>12.45</v>
      </c>
      <c r="E240" s="4">
        <f>547/20</f>
        <v>27.35</v>
      </c>
      <c r="F240" s="4">
        <f>31/5</f>
        <v>6.2</v>
      </c>
      <c r="G240" s="4">
        <f>32/5</f>
        <v>6.4</v>
      </c>
      <c r="H240" s="4" t="s">
        <v>41</v>
      </c>
      <c r="I240" s="4" t="s">
        <v>41</v>
      </c>
      <c r="J240" s="5" t="s">
        <v>35</v>
      </c>
      <c r="K240" s="4" t="s">
        <v>28</v>
      </c>
    </row>
    <row r="241" spans="1:11" x14ac:dyDescent="0.25">
      <c r="A241" s="9" t="s">
        <v>342</v>
      </c>
      <c r="B241" s="2" t="s">
        <v>326</v>
      </c>
      <c r="C241" s="2" t="s">
        <v>34</v>
      </c>
      <c r="D241" s="4">
        <f>5269/20</f>
        <v>263.45</v>
      </c>
      <c r="E241" s="4">
        <f>4948/20</f>
        <v>247.4</v>
      </c>
      <c r="F241" s="4">
        <f>789/5</f>
        <v>157.80000000000001</v>
      </c>
      <c r="G241" s="4">
        <f>1100/5</f>
        <v>220</v>
      </c>
      <c r="H241" s="4" t="s">
        <v>41</v>
      </c>
      <c r="I241" s="4" t="s">
        <v>41</v>
      </c>
      <c r="J241" s="5" t="s">
        <v>42</v>
      </c>
      <c r="K241" s="4" t="s">
        <v>28</v>
      </c>
    </row>
    <row r="242" spans="1:11" x14ac:dyDescent="0.25">
      <c r="A242" s="9" t="s">
        <v>343</v>
      </c>
      <c r="B242" s="2" t="s">
        <v>326</v>
      </c>
      <c r="C242" s="2" t="s">
        <v>34</v>
      </c>
      <c r="D242" s="4">
        <f>1169/20</f>
        <v>58.45</v>
      </c>
      <c r="E242" s="4">
        <f>1266/20</f>
        <v>63.3</v>
      </c>
      <c r="F242" s="4">
        <f>1154/5</f>
        <v>230.8</v>
      </c>
      <c r="G242" s="4">
        <f>789/5</f>
        <v>157.80000000000001</v>
      </c>
      <c r="H242" s="4">
        <f>86/5</f>
        <v>17.2</v>
      </c>
      <c r="I242" s="4">
        <f>95/5</f>
        <v>19</v>
      </c>
      <c r="J242" s="5" t="s">
        <v>35</v>
      </c>
      <c r="K242" s="4" t="s">
        <v>28</v>
      </c>
    </row>
    <row r="243" spans="1:11" x14ac:dyDescent="0.25">
      <c r="A243" s="9" t="s">
        <v>344</v>
      </c>
      <c r="B243" s="2" t="s">
        <v>326</v>
      </c>
      <c r="C243" s="2" t="s">
        <v>34</v>
      </c>
      <c r="D243" s="4">
        <f>6258/20</f>
        <v>312.89999999999998</v>
      </c>
      <c r="E243" s="4">
        <f>5238/20</f>
        <v>261.89999999999998</v>
      </c>
      <c r="F243" s="4">
        <f>1052/5</f>
        <v>210.4</v>
      </c>
      <c r="G243" s="4">
        <f>1052/5</f>
        <v>210.4</v>
      </c>
      <c r="H243" s="4" t="s">
        <v>41</v>
      </c>
      <c r="I243" s="4" t="s">
        <v>41</v>
      </c>
      <c r="J243" s="5" t="s">
        <v>42</v>
      </c>
      <c r="K243" s="4" t="s">
        <v>28</v>
      </c>
    </row>
    <row r="244" spans="1:11" x14ac:dyDescent="0.25">
      <c r="A244" s="9" t="s">
        <v>345</v>
      </c>
      <c r="B244" s="2" t="s">
        <v>308</v>
      </c>
      <c r="C244" s="2" t="s">
        <v>19</v>
      </c>
      <c r="D244" s="4">
        <f>1846/20</f>
        <v>92.3</v>
      </c>
      <c r="E244" s="4">
        <f>1996/20</f>
        <v>99.8</v>
      </c>
      <c r="F244" s="4">
        <f>483/5</f>
        <v>96.6</v>
      </c>
      <c r="G244" s="4">
        <f>468/5</f>
        <v>93.6</v>
      </c>
      <c r="H244" s="4">
        <f>99/5</f>
        <v>19.8</v>
      </c>
      <c r="I244" s="4">
        <f>88/5</f>
        <v>17.600000000000001</v>
      </c>
      <c r="J244" s="5" t="s">
        <v>45</v>
      </c>
      <c r="K244" s="4" t="s">
        <v>28</v>
      </c>
    </row>
    <row r="245" spans="1:11" x14ac:dyDescent="0.25">
      <c r="A245" s="9" t="s">
        <v>346</v>
      </c>
      <c r="B245" s="2" t="s">
        <v>347</v>
      </c>
      <c r="C245" s="2" t="s">
        <v>48</v>
      </c>
      <c r="D245" s="4">
        <f>19791/20</f>
        <v>989.55</v>
      </c>
      <c r="E245" s="4">
        <f>21352/20</f>
        <v>1067.5999999999999</v>
      </c>
      <c r="F245" s="4">
        <f>4261/5</f>
        <v>852.2</v>
      </c>
      <c r="G245" s="4">
        <f>4870/5</f>
        <v>974</v>
      </c>
      <c r="H245" s="4">
        <f>3565/5</f>
        <v>713</v>
      </c>
      <c r="I245" s="4">
        <f>3336/5</f>
        <v>667.2</v>
      </c>
      <c r="J245" s="7" t="s">
        <v>83</v>
      </c>
      <c r="K245" s="6" t="s">
        <v>16</v>
      </c>
    </row>
    <row r="246" spans="1:11" ht="45" x14ac:dyDescent="0.25">
      <c r="A246" s="9" t="s">
        <v>348</v>
      </c>
      <c r="B246" s="2" t="s">
        <v>349</v>
      </c>
      <c r="C246" s="2" t="s">
        <v>48</v>
      </c>
      <c r="D246" s="4">
        <f>102512/20</f>
        <v>5125.6000000000004</v>
      </c>
      <c r="E246" s="4">
        <f>116928/20</f>
        <v>5846.4</v>
      </c>
      <c r="F246" s="4">
        <f>19825/5</f>
        <v>3965</v>
      </c>
      <c r="G246" s="4">
        <f>23265/5</f>
        <v>4653</v>
      </c>
      <c r="H246" s="4">
        <f>14036/5</f>
        <v>2807.2</v>
      </c>
      <c r="I246" s="4">
        <f>16333/5</f>
        <v>3266.6</v>
      </c>
      <c r="J246" s="6" t="s">
        <v>350</v>
      </c>
      <c r="K246" s="6" t="s">
        <v>16</v>
      </c>
    </row>
    <row r="247" spans="1:11" x14ac:dyDescent="0.25">
      <c r="A247" s="9" t="s">
        <v>348</v>
      </c>
      <c r="B247" s="2" t="s">
        <v>349</v>
      </c>
      <c r="C247" s="2" t="s">
        <v>48</v>
      </c>
      <c r="D247" s="4">
        <f>84461/20</f>
        <v>4223.05</v>
      </c>
      <c r="E247" s="4">
        <f>94473/20</f>
        <v>4723.6499999999996</v>
      </c>
      <c r="F247" s="4">
        <f>15664/5</f>
        <v>3132.8</v>
      </c>
      <c r="G247" s="4">
        <f>19056/5</f>
        <v>3811.2</v>
      </c>
      <c r="H247" s="4">
        <f>10589/5</f>
        <v>2117.8000000000002</v>
      </c>
      <c r="I247" s="4">
        <f>12045/5</f>
        <v>2409</v>
      </c>
      <c r="J247" s="7" t="s">
        <v>83</v>
      </c>
      <c r="K247" s="6" t="s">
        <v>16</v>
      </c>
    </row>
    <row r="248" spans="1:11" x14ac:dyDescent="0.25">
      <c r="A248" s="9" t="s">
        <v>348</v>
      </c>
      <c r="B248" s="2" t="s">
        <v>349</v>
      </c>
      <c r="C248" s="2" t="s">
        <v>48</v>
      </c>
      <c r="D248" s="4">
        <f>18051/20</f>
        <v>902.55</v>
      </c>
      <c r="E248" s="4">
        <f>22455/20</f>
        <v>1122.75</v>
      </c>
      <c r="F248" s="4">
        <f>4161/5</f>
        <v>832.2</v>
      </c>
      <c r="G248" s="4">
        <f>4209/5</f>
        <v>841.8</v>
      </c>
      <c r="H248" s="4">
        <f>3447/5</f>
        <v>689.4</v>
      </c>
      <c r="I248" s="4">
        <f>4288/5</f>
        <v>857.6</v>
      </c>
      <c r="J248" s="5" t="s">
        <v>31</v>
      </c>
      <c r="K248" s="6" t="s">
        <v>16</v>
      </c>
    </row>
    <row r="249" spans="1:11" x14ac:dyDescent="0.25">
      <c r="A249" s="9" t="s">
        <v>351</v>
      </c>
      <c r="B249" s="2" t="s">
        <v>349</v>
      </c>
      <c r="C249" s="2" t="s">
        <v>48</v>
      </c>
      <c r="D249" s="4">
        <f>11518/20</f>
        <v>575.9</v>
      </c>
      <c r="E249" s="4">
        <f>11072/20</f>
        <v>553.6</v>
      </c>
      <c r="F249" s="4" t="s">
        <v>41</v>
      </c>
      <c r="G249" s="4" t="s">
        <v>41</v>
      </c>
      <c r="H249" s="4" t="s">
        <v>41</v>
      </c>
      <c r="I249" s="4" t="s">
        <v>41</v>
      </c>
      <c r="J249" s="7" t="s">
        <v>83</v>
      </c>
      <c r="K249" s="6" t="s">
        <v>16</v>
      </c>
    </row>
    <row r="250" spans="1:11" x14ac:dyDescent="0.25">
      <c r="A250" s="9" t="s">
        <v>352</v>
      </c>
      <c r="B250" s="2" t="s">
        <v>349</v>
      </c>
      <c r="C250" s="2" t="s">
        <v>48</v>
      </c>
      <c r="D250" s="4">
        <f>2411/20</f>
        <v>120.55</v>
      </c>
      <c r="E250" s="4">
        <f>2525/20</f>
        <v>126.25</v>
      </c>
      <c r="F250" s="4">
        <f>329/5</f>
        <v>65.8</v>
      </c>
      <c r="G250" s="4">
        <f>395/5</f>
        <v>79</v>
      </c>
      <c r="H250" s="4">
        <f>102/5</f>
        <v>20.399999999999999</v>
      </c>
      <c r="I250" s="4">
        <f>135/5</f>
        <v>27</v>
      </c>
      <c r="J250" s="7" t="s">
        <v>83</v>
      </c>
      <c r="K250" s="6" t="s">
        <v>16</v>
      </c>
    </row>
    <row r="251" spans="1:11" x14ac:dyDescent="0.25">
      <c r="A251" s="9" t="s">
        <v>353</v>
      </c>
      <c r="B251" s="2" t="s">
        <v>349</v>
      </c>
      <c r="C251" s="2" t="s">
        <v>48</v>
      </c>
      <c r="D251" s="4">
        <f>924/20</f>
        <v>46.2</v>
      </c>
      <c r="E251" s="4">
        <f>1346/20</f>
        <v>67.3</v>
      </c>
      <c r="F251" s="4">
        <f>203/5</f>
        <v>40.6</v>
      </c>
      <c r="G251" s="4">
        <f>262/5</f>
        <v>52.4</v>
      </c>
      <c r="H251" s="4">
        <f>199/5</f>
        <v>39.799999999999997</v>
      </c>
      <c r="I251" s="4">
        <f>242/5</f>
        <v>48.4</v>
      </c>
      <c r="J251" s="6" t="s">
        <v>31</v>
      </c>
      <c r="K251" s="6" t="s">
        <v>16</v>
      </c>
    </row>
    <row r="252" spans="1:11" x14ac:dyDescent="0.25">
      <c r="A252" s="9" t="s">
        <v>354</v>
      </c>
      <c r="B252" s="2" t="s">
        <v>349</v>
      </c>
      <c r="C252" s="2" t="s">
        <v>355</v>
      </c>
      <c r="D252" s="4">
        <f>2228/20</f>
        <v>111.4</v>
      </c>
      <c r="E252" s="4">
        <f>2666/20</f>
        <v>133.30000000000001</v>
      </c>
      <c r="F252" s="4">
        <f>367/5</f>
        <v>73.400000000000006</v>
      </c>
      <c r="G252" s="4">
        <f>449/5</f>
        <v>89.8</v>
      </c>
      <c r="H252" s="4">
        <f>359/5</f>
        <v>71.8</v>
      </c>
      <c r="I252" s="4">
        <f>398/5</f>
        <v>79.599999999999994</v>
      </c>
      <c r="J252" s="6" t="s">
        <v>31</v>
      </c>
      <c r="K252" s="6" t="s">
        <v>16</v>
      </c>
    </row>
    <row r="253" spans="1:11" x14ac:dyDescent="0.25">
      <c r="A253" s="9" t="s">
        <v>356</v>
      </c>
      <c r="B253" s="2" t="s">
        <v>118</v>
      </c>
      <c r="C253" s="2" t="s">
        <v>19</v>
      </c>
      <c r="D253" s="4">
        <f>9014/20</f>
        <v>450.7</v>
      </c>
      <c r="E253" s="4">
        <f>8540/20</f>
        <v>427</v>
      </c>
      <c r="F253" s="4">
        <f>1773/5</f>
        <v>354.6</v>
      </c>
      <c r="G253" s="4">
        <f>1871/5</f>
        <v>374.2</v>
      </c>
      <c r="H253" s="4">
        <f>1137/5</f>
        <v>227.4</v>
      </c>
      <c r="I253" s="4">
        <f>1208/5</f>
        <v>241.6</v>
      </c>
      <c r="J253" s="5" t="s">
        <v>65</v>
      </c>
      <c r="K253" s="6" t="s">
        <v>16</v>
      </c>
    </row>
    <row r="254" spans="1:11" x14ac:dyDescent="0.25">
      <c r="A254" s="9" t="s">
        <v>357</v>
      </c>
      <c r="B254" s="2" t="s">
        <v>358</v>
      </c>
      <c r="C254" s="2" t="s">
        <v>34</v>
      </c>
      <c r="D254" s="4">
        <f>5658/20</f>
        <v>282.89999999999998</v>
      </c>
      <c r="E254" s="4">
        <f>6650/20</f>
        <v>332.5</v>
      </c>
      <c r="F254" s="4">
        <f>1125/5</f>
        <v>225</v>
      </c>
      <c r="G254" s="4">
        <f>1180/5</f>
        <v>236</v>
      </c>
      <c r="H254" s="4">
        <f>429/5</f>
        <v>85.8</v>
      </c>
      <c r="I254" s="4">
        <f>567/5</f>
        <v>113.4</v>
      </c>
      <c r="J254" s="2" t="s">
        <v>121</v>
      </c>
      <c r="K254" s="6" t="s">
        <v>16</v>
      </c>
    </row>
    <row r="255" spans="1:11" x14ac:dyDescent="0.25">
      <c r="A255" s="9" t="s">
        <v>359</v>
      </c>
      <c r="B255" s="2" t="s">
        <v>360</v>
      </c>
      <c r="C255" s="2" t="s">
        <v>112</v>
      </c>
      <c r="D255" s="4" t="s">
        <v>41</v>
      </c>
      <c r="E255" s="4" t="s">
        <v>41</v>
      </c>
      <c r="F255" s="4" t="s">
        <v>41</v>
      </c>
      <c r="G255" s="4" t="s">
        <v>41</v>
      </c>
      <c r="H255" s="4" t="s">
        <v>41</v>
      </c>
      <c r="I255" s="4" t="s">
        <v>41</v>
      </c>
      <c r="J255" s="5" t="s">
        <v>138</v>
      </c>
      <c r="K255" s="6" t="s">
        <v>16</v>
      </c>
    </row>
    <row r="256" spans="1:11" x14ac:dyDescent="0.25">
      <c r="A256" s="9" t="s">
        <v>361</v>
      </c>
      <c r="B256" s="2" t="s">
        <v>191</v>
      </c>
      <c r="C256" s="2" t="s">
        <v>23</v>
      </c>
      <c r="D256" s="1">
        <f>1059/20</f>
        <v>52.95</v>
      </c>
      <c r="E256" s="4">
        <f>953/20</f>
        <v>47.65</v>
      </c>
      <c r="F256" s="4">
        <f>222/5</f>
        <v>44.4</v>
      </c>
      <c r="G256" s="4">
        <f>163/5</f>
        <v>32.6</v>
      </c>
      <c r="H256" s="4" t="s">
        <v>41</v>
      </c>
      <c r="I256" s="4" t="s">
        <v>41</v>
      </c>
      <c r="J256" s="5" t="s">
        <v>175</v>
      </c>
      <c r="K256" s="4" t="s">
        <v>28</v>
      </c>
    </row>
    <row r="257" spans="1:11" x14ac:dyDescent="0.25">
      <c r="A257" s="9" t="s">
        <v>362</v>
      </c>
      <c r="B257" s="2" t="s">
        <v>363</v>
      </c>
      <c r="C257" s="2" t="s">
        <v>34</v>
      </c>
      <c r="D257" s="4">
        <f>16439/20</f>
        <v>821.95</v>
      </c>
      <c r="E257" s="4">
        <f>14120/20</f>
        <v>706</v>
      </c>
      <c r="F257" s="4">
        <f>2816/5</f>
        <v>563.20000000000005</v>
      </c>
      <c r="G257" s="4">
        <f>2301/5</f>
        <v>460.2</v>
      </c>
      <c r="H257" s="4">
        <f>1344/5</f>
        <v>268.8</v>
      </c>
      <c r="I257" s="4">
        <f>1576/5</f>
        <v>315.2</v>
      </c>
      <c r="J257" s="5" t="s">
        <v>20</v>
      </c>
      <c r="K257" s="6" t="s">
        <v>16</v>
      </c>
    </row>
    <row r="258" spans="1:11" x14ac:dyDescent="0.25">
      <c r="A258" s="9" t="s">
        <v>364</v>
      </c>
      <c r="B258" s="2" t="s">
        <v>365</v>
      </c>
      <c r="C258" s="2" t="s">
        <v>14</v>
      </c>
      <c r="D258" s="4">
        <f>7309/20</f>
        <v>365.45</v>
      </c>
      <c r="E258" s="4">
        <f>7389/20</f>
        <v>369.45</v>
      </c>
      <c r="F258" s="4">
        <f>1460/5</f>
        <v>292</v>
      </c>
      <c r="G258" s="4">
        <f>1478/5</f>
        <v>295.60000000000002</v>
      </c>
      <c r="H258" s="4">
        <f>792/5</f>
        <v>158.4</v>
      </c>
      <c r="I258" s="4">
        <f>1027/5</f>
        <v>205.4</v>
      </c>
      <c r="J258" s="6" t="s">
        <v>31</v>
      </c>
      <c r="K258" s="6" t="s">
        <v>16</v>
      </c>
    </row>
    <row r="259" spans="1:11" x14ac:dyDescent="0.25">
      <c r="A259" s="9" t="s">
        <v>366</v>
      </c>
      <c r="B259" s="2" t="s">
        <v>367</v>
      </c>
      <c r="C259" s="2" t="s">
        <v>198</v>
      </c>
      <c r="D259" s="4">
        <f>779/20</f>
        <v>38.950000000000003</v>
      </c>
      <c r="E259" s="4">
        <f>982/20</f>
        <v>49.1</v>
      </c>
      <c r="F259" s="4">
        <f>130/5</f>
        <v>26</v>
      </c>
      <c r="G259" s="4">
        <f>165/5</f>
        <v>33</v>
      </c>
      <c r="H259" s="4" t="s">
        <v>41</v>
      </c>
      <c r="I259" s="4" t="s">
        <v>41</v>
      </c>
      <c r="J259" s="5" t="s">
        <v>88</v>
      </c>
      <c r="K259" s="4" t="s">
        <v>28</v>
      </c>
    </row>
    <row r="260" spans="1:11" x14ac:dyDescent="0.25">
      <c r="A260" s="9" t="s">
        <v>368</v>
      </c>
      <c r="B260" s="2" t="s">
        <v>287</v>
      </c>
      <c r="C260" s="2" t="s">
        <v>34</v>
      </c>
      <c r="D260" s="4">
        <f>492/20</f>
        <v>24.6</v>
      </c>
      <c r="E260" s="4">
        <f>531/20</f>
        <v>26.55</v>
      </c>
      <c r="F260" s="4">
        <f>86/5</f>
        <v>17.2</v>
      </c>
      <c r="G260" s="4">
        <f>79/5</f>
        <v>15.8</v>
      </c>
      <c r="H260" s="4">
        <f>8/5</f>
        <v>1.6</v>
      </c>
      <c r="I260" s="4">
        <f>16/5</f>
        <v>3.2</v>
      </c>
      <c r="J260" s="5" t="s">
        <v>35</v>
      </c>
      <c r="K260" s="4" t="s">
        <v>28</v>
      </c>
    </row>
    <row r="261" spans="1:11" x14ac:dyDescent="0.25">
      <c r="A261" s="9" t="s">
        <v>369</v>
      </c>
      <c r="B261" s="2" t="s">
        <v>241</v>
      </c>
      <c r="C261" s="2" t="s">
        <v>34</v>
      </c>
      <c r="D261" s="4">
        <f>373/20</f>
        <v>18.649999999999999</v>
      </c>
      <c r="E261" s="4">
        <f>388/20</f>
        <v>19.399999999999999</v>
      </c>
      <c r="F261" s="4">
        <f>64/5</f>
        <v>12.8</v>
      </c>
      <c r="G261" s="4">
        <f>68/5</f>
        <v>13.6</v>
      </c>
      <c r="H261" s="4">
        <f>2/5</f>
        <v>0.4</v>
      </c>
      <c r="I261" s="4">
        <f>6/5</f>
        <v>1.2</v>
      </c>
      <c r="J261" s="5" t="s">
        <v>35</v>
      </c>
      <c r="K261" s="4" t="s">
        <v>28</v>
      </c>
    </row>
    <row r="262" spans="1:11" x14ac:dyDescent="0.25">
      <c r="A262" s="9" t="s">
        <v>370</v>
      </c>
      <c r="B262" s="2" t="s">
        <v>287</v>
      </c>
      <c r="C262" s="2" t="s">
        <v>34</v>
      </c>
      <c r="D262" s="4">
        <f>503/20</f>
        <v>25.15</v>
      </c>
      <c r="E262" s="4">
        <f>507/20</f>
        <v>25.35</v>
      </c>
      <c r="F262" s="4">
        <f>110/5</f>
        <v>22</v>
      </c>
      <c r="G262" s="4">
        <f>81/5</f>
        <v>16.2</v>
      </c>
      <c r="H262" s="4">
        <f>1/5</f>
        <v>0.2</v>
      </c>
      <c r="I262" s="4">
        <f>5/5</f>
        <v>1</v>
      </c>
      <c r="J262" s="5" t="s">
        <v>35</v>
      </c>
      <c r="K262" s="4" t="s">
        <v>28</v>
      </c>
    </row>
    <row r="263" spans="1:11" x14ac:dyDescent="0.25">
      <c r="A263" s="9" t="s">
        <v>371</v>
      </c>
      <c r="B263" s="2" t="s">
        <v>372</v>
      </c>
      <c r="C263" s="2" t="s">
        <v>34</v>
      </c>
      <c r="D263" s="4">
        <f>2324/20</f>
        <v>116.2</v>
      </c>
      <c r="E263" s="4">
        <f>2731/20</f>
        <v>136.55000000000001</v>
      </c>
      <c r="F263" s="4">
        <f>569/5</f>
        <v>113.8</v>
      </c>
      <c r="G263" s="4">
        <f>585/5</f>
        <v>117</v>
      </c>
      <c r="H263" s="4" t="s">
        <v>41</v>
      </c>
      <c r="I263" s="4" t="s">
        <v>41</v>
      </c>
      <c r="J263" s="5" t="s">
        <v>42</v>
      </c>
      <c r="K263" s="4" t="s">
        <v>28</v>
      </c>
    </row>
    <row r="264" spans="1:11" x14ac:dyDescent="0.25">
      <c r="A264" s="9" t="s">
        <v>373</v>
      </c>
      <c r="B264" s="2" t="s">
        <v>33</v>
      </c>
      <c r="C264" s="2" t="s">
        <v>34</v>
      </c>
      <c r="D264" s="4">
        <f>327/20</f>
        <v>16.350000000000001</v>
      </c>
      <c r="E264" s="4">
        <f>447/20</f>
        <v>22.35</v>
      </c>
      <c r="F264" s="4">
        <f>56/5</f>
        <v>11.2</v>
      </c>
      <c r="G264" s="4">
        <f>98/5</f>
        <v>19.600000000000001</v>
      </c>
      <c r="H264" s="4">
        <f>0/5</f>
        <v>0</v>
      </c>
      <c r="I264" s="4">
        <f>5/5</f>
        <v>1</v>
      </c>
      <c r="J264" s="5" t="s">
        <v>35</v>
      </c>
      <c r="K264" s="4" t="s">
        <v>28</v>
      </c>
    </row>
    <row r="265" spans="1:11" x14ac:dyDescent="0.25">
      <c r="A265" s="9" t="s">
        <v>374</v>
      </c>
      <c r="B265" s="2" t="s">
        <v>22</v>
      </c>
      <c r="C265" s="2" t="s">
        <v>23</v>
      </c>
      <c r="D265" s="4">
        <f>321/20</f>
        <v>16.05</v>
      </c>
      <c r="E265" s="4">
        <f>290/20</f>
        <v>14.5</v>
      </c>
      <c r="F265" s="4">
        <f>41/5</f>
        <v>8.1999999999999993</v>
      </c>
      <c r="G265" s="4">
        <f>36/5</f>
        <v>7.2</v>
      </c>
      <c r="H265" s="4">
        <f>21/5</f>
        <v>4.2</v>
      </c>
      <c r="I265" s="4">
        <f>24/5</f>
        <v>4.8</v>
      </c>
      <c r="J265" s="5" t="s">
        <v>15</v>
      </c>
      <c r="K265" s="6" t="s">
        <v>16</v>
      </c>
    </row>
    <row r="266" spans="1:11" x14ac:dyDescent="0.25">
      <c r="A266" s="9" t="s">
        <v>375</v>
      </c>
      <c r="B266" s="2" t="s">
        <v>99</v>
      </c>
      <c r="C266" s="2" t="s">
        <v>14</v>
      </c>
      <c r="D266" s="4">
        <f>355/20</f>
        <v>17.75</v>
      </c>
      <c r="E266" s="4">
        <f>267/20</f>
        <v>13.35</v>
      </c>
      <c r="F266" s="4">
        <f>64/5</f>
        <v>12.8</v>
      </c>
      <c r="G266" s="4">
        <f>35/5</f>
        <v>7</v>
      </c>
      <c r="H266" s="4">
        <f>27/5</f>
        <v>5.4</v>
      </c>
      <c r="I266" s="4">
        <f>34/5</f>
        <v>6.8</v>
      </c>
      <c r="J266" s="5" t="s">
        <v>100</v>
      </c>
      <c r="K266" s="6" t="s">
        <v>16</v>
      </c>
    </row>
    <row r="267" spans="1:11" x14ac:dyDescent="0.25">
      <c r="A267" s="9" t="s">
        <v>376</v>
      </c>
      <c r="B267" s="2" t="s">
        <v>377</v>
      </c>
      <c r="C267" s="2" t="s">
        <v>26</v>
      </c>
      <c r="D267" s="4">
        <f>11677/20</f>
        <v>583.85</v>
      </c>
      <c r="E267" s="4">
        <f>13916/20</f>
        <v>695.8</v>
      </c>
      <c r="F267" s="4">
        <f>2621/5</f>
        <v>524.20000000000005</v>
      </c>
      <c r="G267" s="4">
        <f>2862/5</f>
        <v>572.4</v>
      </c>
      <c r="H267" s="4">
        <f>1367/5</f>
        <v>273.39999999999998</v>
      </c>
      <c r="I267" s="4">
        <f>1328/5</f>
        <v>265.60000000000002</v>
      </c>
      <c r="J267" s="2" t="s">
        <v>71</v>
      </c>
      <c r="K267" s="6" t="s">
        <v>16</v>
      </c>
    </row>
    <row r="268" spans="1:11" x14ac:dyDescent="0.25">
      <c r="A268" s="9" t="s">
        <v>378</v>
      </c>
      <c r="B268" s="2" t="s">
        <v>379</v>
      </c>
      <c r="C268" s="2" t="s">
        <v>19</v>
      </c>
      <c r="D268" s="4">
        <f>12358/20</f>
        <v>617.9</v>
      </c>
      <c r="E268" s="4">
        <f>14292/20</f>
        <v>714.6</v>
      </c>
      <c r="F268" s="4">
        <f>1594/5</f>
        <v>318.8</v>
      </c>
      <c r="G268" s="4">
        <f>1660/5</f>
        <v>332</v>
      </c>
      <c r="H268" s="4">
        <f>734/5</f>
        <v>146.80000000000001</v>
      </c>
      <c r="I268" s="4">
        <f>734/5</f>
        <v>146.80000000000001</v>
      </c>
      <c r="J268" s="6" t="s">
        <v>70</v>
      </c>
      <c r="K268" s="6" t="s">
        <v>16</v>
      </c>
    </row>
    <row r="269" spans="1:11" x14ac:dyDescent="0.25">
      <c r="A269" s="9" t="s">
        <v>380</v>
      </c>
      <c r="B269" s="2" t="s">
        <v>381</v>
      </c>
      <c r="C269" s="2" t="s">
        <v>19</v>
      </c>
      <c r="D269" s="4">
        <f>26545/20</f>
        <v>1327.25</v>
      </c>
      <c r="E269" s="4">
        <f>26149/20</f>
        <v>1307.45</v>
      </c>
      <c r="F269" s="4">
        <f>4313/5</f>
        <v>862.6</v>
      </c>
      <c r="G269" s="4">
        <f>4761/5</f>
        <v>952.2</v>
      </c>
      <c r="H269" s="4">
        <f>1970/5</f>
        <v>394</v>
      </c>
      <c r="I269" s="4">
        <f>1851/5</f>
        <v>370.2</v>
      </c>
      <c r="J269" s="2" t="s">
        <v>71</v>
      </c>
      <c r="K269" s="6" t="s">
        <v>16</v>
      </c>
    </row>
    <row r="270" spans="1:11" x14ac:dyDescent="0.25">
      <c r="A270" s="9" t="s">
        <v>382</v>
      </c>
      <c r="B270" s="2" t="s">
        <v>147</v>
      </c>
      <c r="C270" s="2" t="s">
        <v>112</v>
      </c>
      <c r="D270" s="4">
        <f>1007/20</f>
        <v>50.35</v>
      </c>
      <c r="E270" s="4">
        <f>663/20</f>
        <v>33.15</v>
      </c>
      <c r="F270" s="4">
        <f>165/5</f>
        <v>33</v>
      </c>
      <c r="G270" s="4">
        <f>77/5</f>
        <v>15.4</v>
      </c>
      <c r="H270" s="4">
        <f>5/5</f>
        <v>1</v>
      </c>
      <c r="I270" s="4">
        <f>0/5</f>
        <v>0</v>
      </c>
      <c r="J270" s="2" t="s">
        <v>107</v>
      </c>
      <c r="K270" s="6" t="s">
        <v>16</v>
      </c>
    </row>
    <row r="271" spans="1:11" x14ac:dyDescent="0.25">
      <c r="A271" s="9" t="s">
        <v>383</v>
      </c>
      <c r="B271" s="2" t="s">
        <v>384</v>
      </c>
      <c r="C271" s="2" t="s">
        <v>19</v>
      </c>
      <c r="D271" s="4">
        <f>9993/20</f>
        <v>499.65</v>
      </c>
      <c r="E271" s="2">
        <f>9480/20</f>
        <v>474</v>
      </c>
      <c r="F271" s="4">
        <f>1593/5</f>
        <v>318.60000000000002</v>
      </c>
      <c r="G271" s="4">
        <f>1658/5</f>
        <v>331.6</v>
      </c>
      <c r="H271" s="4">
        <f>667/5</f>
        <v>133.4</v>
      </c>
      <c r="I271" s="2">
        <f>615/5</f>
        <v>123</v>
      </c>
      <c r="J271" s="7" t="s">
        <v>83</v>
      </c>
      <c r="K271" s="6" t="s">
        <v>16</v>
      </c>
    </row>
    <row r="272" spans="1:11" x14ac:dyDescent="0.25">
      <c r="A272" s="9" t="s">
        <v>385</v>
      </c>
      <c r="B272" s="2" t="s">
        <v>99</v>
      </c>
      <c r="C272" s="2" t="s">
        <v>14</v>
      </c>
      <c r="D272" s="4">
        <f>297/20</f>
        <v>14.85</v>
      </c>
      <c r="E272" s="4">
        <f>417/20</f>
        <v>20.85</v>
      </c>
      <c r="F272" s="4">
        <f>99/5</f>
        <v>19.8</v>
      </c>
      <c r="G272" s="4">
        <f>53/5</f>
        <v>10.6</v>
      </c>
      <c r="H272" s="4">
        <f>75/5</f>
        <v>15</v>
      </c>
      <c r="I272" s="4">
        <f>30/5</f>
        <v>6</v>
      </c>
      <c r="J272" s="5" t="s">
        <v>100</v>
      </c>
      <c r="K272" s="6" t="s">
        <v>16</v>
      </c>
    </row>
    <row r="273" spans="1:11" x14ac:dyDescent="0.25">
      <c r="A273" s="9" t="s">
        <v>386</v>
      </c>
      <c r="B273" s="2" t="s">
        <v>360</v>
      </c>
      <c r="C273" s="2" t="s">
        <v>112</v>
      </c>
      <c r="D273" s="4">
        <f>926/20</f>
        <v>46.3</v>
      </c>
      <c r="E273" s="4">
        <f>1100/20</f>
        <v>55</v>
      </c>
      <c r="F273" s="4">
        <f>191/5</f>
        <v>38.200000000000003</v>
      </c>
      <c r="G273" s="4">
        <f>184/5</f>
        <v>36.799999999999997</v>
      </c>
      <c r="H273" s="4">
        <f>144/5</f>
        <v>28.8</v>
      </c>
      <c r="I273" s="4">
        <f>230/5</f>
        <v>46</v>
      </c>
      <c r="J273" s="5" t="s">
        <v>138</v>
      </c>
      <c r="K273" s="6" t="s">
        <v>16</v>
      </c>
    </row>
    <row r="274" spans="1:11" x14ac:dyDescent="0.25">
      <c r="A274" s="9" t="s">
        <v>387</v>
      </c>
      <c r="B274" s="2" t="s">
        <v>388</v>
      </c>
      <c r="C274" s="2" t="s">
        <v>19</v>
      </c>
      <c r="D274" s="4">
        <f>34927/20</f>
        <v>1746.35</v>
      </c>
      <c r="E274" s="4">
        <f>39055/20</f>
        <v>1952.75</v>
      </c>
      <c r="F274" s="4">
        <f>6047/5</f>
        <v>1209.4000000000001</v>
      </c>
      <c r="G274" s="4">
        <f>6779/5</f>
        <v>1355.8</v>
      </c>
      <c r="H274" s="4">
        <f>3309/5</f>
        <v>661.8</v>
      </c>
      <c r="I274" s="4">
        <f>4389/5</f>
        <v>877.8</v>
      </c>
      <c r="J274" s="6" t="s">
        <v>70</v>
      </c>
      <c r="K274" s="6" t="s">
        <v>16</v>
      </c>
    </row>
    <row r="275" spans="1:11" x14ac:dyDescent="0.25">
      <c r="A275" s="9" t="s">
        <v>389</v>
      </c>
      <c r="B275" s="2" t="s">
        <v>390</v>
      </c>
      <c r="C275" s="2" t="s">
        <v>106</v>
      </c>
      <c r="D275" s="4">
        <f>14278/20</f>
        <v>713.9</v>
      </c>
      <c r="E275" s="4">
        <f>15091/20</f>
        <v>754.55</v>
      </c>
      <c r="F275" s="4">
        <f>2727/5</f>
        <v>545.4</v>
      </c>
      <c r="G275" s="4">
        <f>3132/5</f>
        <v>626.4</v>
      </c>
      <c r="H275" s="4">
        <f>1376/5</f>
        <v>275.2</v>
      </c>
      <c r="I275" s="4">
        <f>1581/5</f>
        <v>316.2</v>
      </c>
      <c r="J275" s="2" t="s">
        <v>209</v>
      </c>
      <c r="K275" s="6" t="s">
        <v>16</v>
      </c>
    </row>
    <row r="276" spans="1:11" x14ac:dyDescent="0.25">
      <c r="A276" s="9" t="s">
        <v>391</v>
      </c>
      <c r="B276" s="2" t="s">
        <v>392</v>
      </c>
      <c r="C276" s="2" t="s">
        <v>19</v>
      </c>
      <c r="D276" s="4">
        <f>4028/20</f>
        <v>201.4</v>
      </c>
      <c r="E276" s="4">
        <f>4444/20</f>
        <v>222.2</v>
      </c>
      <c r="F276" s="4">
        <f>806/5</f>
        <v>161.19999999999999</v>
      </c>
      <c r="G276" s="4">
        <f>874/5</f>
        <v>174.8</v>
      </c>
      <c r="H276" s="4">
        <f>379/5</f>
        <v>75.8</v>
      </c>
      <c r="I276" s="4">
        <f>489/5</f>
        <v>97.8</v>
      </c>
      <c r="J276" s="5" t="s">
        <v>20</v>
      </c>
      <c r="K276" s="6" t="s">
        <v>16</v>
      </c>
    </row>
    <row r="277" spans="1:11" x14ac:dyDescent="0.25">
      <c r="A277" s="9" t="s">
        <v>393</v>
      </c>
      <c r="B277" s="2" t="s">
        <v>394</v>
      </c>
      <c r="C277" s="2" t="s">
        <v>19</v>
      </c>
      <c r="D277" s="4">
        <f>8382/20</f>
        <v>419.1</v>
      </c>
      <c r="E277" s="4">
        <f>9667/20</f>
        <v>483.35</v>
      </c>
      <c r="F277" s="4">
        <f>890/5</f>
        <v>178</v>
      </c>
      <c r="G277" s="4">
        <v>203.6</v>
      </c>
      <c r="H277" s="4">
        <f>442/5</f>
        <v>88.4</v>
      </c>
      <c r="I277" s="4">
        <f>693/5</f>
        <v>138.6</v>
      </c>
      <c r="J277" s="5" t="s">
        <v>69</v>
      </c>
      <c r="K277" s="6" t="s">
        <v>16</v>
      </c>
    </row>
    <row r="278" spans="1:11" x14ac:dyDescent="0.25">
      <c r="A278" s="9" t="s">
        <v>395</v>
      </c>
      <c r="B278" s="2" t="s">
        <v>396</v>
      </c>
      <c r="C278" s="2" t="s">
        <v>48</v>
      </c>
      <c r="D278" s="4">
        <f>10524/20</f>
        <v>526.20000000000005</v>
      </c>
      <c r="E278" s="4">
        <f>10967/20</f>
        <v>548.35</v>
      </c>
      <c r="F278" s="4">
        <f>2135/5</f>
        <v>427</v>
      </c>
      <c r="G278" s="4">
        <f>2432/5</f>
        <v>486.4</v>
      </c>
      <c r="H278" s="4">
        <f>919/5</f>
        <v>183.8</v>
      </c>
      <c r="I278" s="4">
        <f>927/5</f>
        <v>185.4</v>
      </c>
      <c r="J278" s="7" t="s">
        <v>83</v>
      </c>
      <c r="K278" s="6" t="s">
        <v>16</v>
      </c>
    </row>
    <row r="279" spans="1:11" x14ac:dyDescent="0.25">
      <c r="A279" s="9" t="s">
        <v>397</v>
      </c>
      <c r="B279" s="2" t="s">
        <v>398</v>
      </c>
      <c r="C279" s="2" t="s">
        <v>112</v>
      </c>
      <c r="D279" s="4" t="s">
        <v>41</v>
      </c>
      <c r="E279" s="4" t="s">
        <v>41</v>
      </c>
      <c r="F279" s="4" t="s">
        <v>41</v>
      </c>
      <c r="G279" s="4" t="s">
        <v>41</v>
      </c>
      <c r="H279" s="4" t="s">
        <v>41</v>
      </c>
      <c r="I279" s="4" t="s">
        <v>41</v>
      </c>
      <c r="J279" s="5" t="s">
        <v>138</v>
      </c>
      <c r="K279" s="6" t="s">
        <v>16</v>
      </c>
    </row>
    <row r="280" spans="1:11" x14ac:dyDescent="0.25">
      <c r="A280" s="9" t="s">
        <v>399</v>
      </c>
      <c r="B280" s="2" t="s">
        <v>95</v>
      </c>
      <c r="C280" s="2" t="s">
        <v>19</v>
      </c>
      <c r="D280" s="4">
        <f>18365/20</f>
        <v>918.25</v>
      </c>
      <c r="E280" s="4">
        <f>18326/20</f>
        <v>916.3</v>
      </c>
      <c r="F280" s="4">
        <f>3415/5</f>
        <v>683</v>
      </c>
      <c r="G280" s="4">
        <f>3333/5</f>
        <v>666.6</v>
      </c>
      <c r="H280" s="4">
        <f>1890/5</f>
        <v>378</v>
      </c>
      <c r="I280" s="4">
        <f>1782/5</f>
        <v>356.4</v>
      </c>
      <c r="J280" s="5" t="s">
        <v>65</v>
      </c>
      <c r="K280" s="6" t="s">
        <v>16</v>
      </c>
    </row>
    <row r="281" spans="1:11" x14ac:dyDescent="0.25">
      <c r="A281" s="9" t="s">
        <v>400</v>
      </c>
      <c r="B281" s="2" t="s">
        <v>401</v>
      </c>
      <c r="C281" s="2" t="s">
        <v>26</v>
      </c>
      <c r="D281" s="4">
        <f>2054/20</f>
        <v>102.7</v>
      </c>
      <c r="E281" s="4">
        <f>2867/20</f>
        <v>143.35</v>
      </c>
      <c r="F281" s="4">
        <f>478/5</f>
        <v>95.6</v>
      </c>
      <c r="G281" s="4">
        <f>604/5</f>
        <v>120.8</v>
      </c>
      <c r="H281" s="4">
        <f>66/5</f>
        <v>13.2</v>
      </c>
      <c r="I281" s="4">
        <f>122/5</f>
        <v>24.4</v>
      </c>
      <c r="J281" s="5" t="s">
        <v>27</v>
      </c>
      <c r="K281" s="4" t="s">
        <v>28</v>
      </c>
    </row>
    <row r="282" spans="1:11" ht="30" x14ac:dyDescent="0.25">
      <c r="A282" s="9" t="s">
        <v>402</v>
      </c>
      <c r="B282" s="2" t="s">
        <v>401</v>
      </c>
      <c r="C282" s="2" t="s">
        <v>26</v>
      </c>
      <c r="D282" s="4">
        <f>7044/20</f>
        <v>352.2</v>
      </c>
      <c r="E282" s="4">
        <f>6780/20</f>
        <v>339</v>
      </c>
      <c r="F282" s="4">
        <f>933/5</f>
        <v>186.6</v>
      </c>
      <c r="G282" s="4">
        <f>1004/5</f>
        <v>200.8</v>
      </c>
      <c r="H282" s="4">
        <f>129/5</f>
        <v>25.8</v>
      </c>
      <c r="I282" s="4">
        <f>122/5</f>
        <v>24.4</v>
      </c>
      <c r="J282" s="5" t="s">
        <v>129</v>
      </c>
      <c r="K282" s="4" t="s">
        <v>28</v>
      </c>
    </row>
    <row r="283" spans="1:11" x14ac:dyDescent="0.25">
      <c r="A283" s="9" t="s">
        <v>403</v>
      </c>
      <c r="B283" s="2" t="s">
        <v>401</v>
      </c>
      <c r="C283" s="2" t="s">
        <v>26</v>
      </c>
      <c r="D283" s="4">
        <f>11725/20</f>
        <v>586.25</v>
      </c>
      <c r="E283" s="4">
        <f>12278/20</f>
        <v>613.9</v>
      </c>
      <c r="F283" s="4">
        <f>2632/5</f>
        <v>526.4</v>
      </c>
      <c r="G283" s="4">
        <f>2799/5</f>
        <v>559.79999999999995</v>
      </c>
      <c r="H283" s="4">
        <f>558/5</f>
        <v>111.6</v>
      </c>
      <c r="I283" s="4">
        <f>386/5</f>
        <v>77.2</v>
      </c>
      <c r="J283" s="5" t="s">
        <v>27</v>
      </c>
      <c r="K283" s="4" t="s">
        <v>28</v>
      </c>
    </row>
    <row r="284" spans="1:11" x14ac:dyDescent="0.25">
      <c r="A284" s="9" t="s">
        <v>404</v>
      </c>
      <c r="B284" s="2" t="s">
        <v>405</v>
      </c>
      <c r="C284" s="2" t="s">
        <v>26</v>
      </c>
      <c r="D284" s="4">
        <f>2095/20</f>
        <v>104.75</v>
      </c>
      <c r="E284" s="4">
        <f>2050/20</f>
        <v>102.5</v>
      </c>
      <c r="F284" s="4">
        <f>353/5</f>
        <v>70.599999999999994</v>
      </c>
      <c r="G284" s="4">
        <f>442/5</f>
        <v>88.4</v>
      </c>
      <c r="H284" s="4">
        <f>84/5</f>
        <v>16.8</v>
      </c>
      <c r="I284" s="4">
        <f>114/5</f>
        <v>22.8</v>
      </c>
      <c r="J284" s="5" t="s">
        <v>45</v>
      </c>
      <c r="K284" s="4" t="s">
        <v>28</v>
      </c>
    </row>
    <row r="285" spans="1:11" x14ac:dyDescent="0.25">
      <c r="A285" s="9" t="s">
        <v>406</v>
      </c>
      <c r="B285" s="2" t="s">
        <v>405</v>
      </c>
      <c r="C285" s="2" t="s">
        <v>26</v>
      </c>
      <c r="D285" s="4">
        <f>1934/20</f>
        <v>96.7</v>
      </c>
      <c r="E285" s="4">
        <f>2059/20</f>
        <v>102.95</v>
      </c>
      <c r="F285" s="4">
        <f>414/5</f>
        <v>82.8</v>
      </c>
      <c r="G285" s="4">
        <f>425/5</f>
        <v>85</v>
      </c>
      <c r="H285" s="4">
        <f>70/5</f>
        <v>14</v>
      </c>
      <c r="I285" s="4">
        <f>76/5</f>
        <v>15.2</v>
      </c>
      <c r="J285" s="5" t="s">
        <v>45</v>
      </c>
      <c r="K285" s="4" t="s">
        <v>28</v>
      </c>
    </row>
    <row r="286" spans="1:11" x14ac:dyDescent="0.25">
      <c r="A286" s="9" t="s">
        <v>407</v>
      </c>
      <c r="B286" s="2" t="s">
        <v>408</v>
      </c>
      <c r="C286" s="2" t="s">
        <v>161</v>
      </c>
      <c r="D286" s="4">
        <f>17025/20</f>
        <v>851.25</v>
      </c>
      <c r="E286" s="4">
        <f>18977/20</f>
        <v>948.85</v>
      </c>
      <c r="F286" s="4">
        <f>3726/5</f>
        <v>745.2</v>
      </c>
      <c r="G286" s="4">
        <f>4010/5</f>
        <v>802</v>
      </c>
      <c r="H286" s="4">
        <f>1240/5</f>
        <v>248</v>
      </c>
      <c r="I286" s="4">
        <f>1275/5</f>
        <v>255</v>
      </c>
      <c r="J286" s="7" t="s">
        <v>83</v>
      </c>
      <c r="K286" s="6" t="s">
        <v>16</v>
      </c>
    </row>
    <row r="287" spans="1:11" ht="30" x14ac:dyDescent="0.25">
      <c r="A287" s="9" t="s">
        <v>409</v>
      </c>
      <c r="B287" s="2" t="s">
        <v>165</v>
      </c>
      <c r="C287" s="2" t="s">
        <v>34</v>
      </c>
      <c r="D287" s="4">
        <f>6279/20</f>
        <v>313.95</v>
      </c>
      <c r="E287" s="4">
        <f>6409/20</f>
        <v>320.45</v>
      </c>
      <c r="F287" s="4">
        <f>999/5</f>
        <v>199.8</v>
      </c>
      <c r="G287" s="4">
        <f>888/5</f>
        <v>177.6</v>
      </c>
      <c r="H287" s="4">
        <f>74/5</f>
        <v>14.8</v>
      </c>
      <c r="I287" s="4">
        <f>194/5</f>
        <v>38.799999999999997</v>
      </c>
      <c r="J287" s="5" t="s">
        <v>129</v>
      </c>
      <c r="K287" s="4" t="s">
        <v>28</v>
      </c>
    </row>
    <row r="288" spans="1:11" x14ac:dyDescent="0.25">
      <c r="A288" s="9" t="s">
        <v>410</v>
      </c>
      <c r="B288" s="2" t="s">
        <v>411</v>
      </c>
      <c r="C288" s="2" t="s">
        <v>198</v>
      </c>
      <c r="D288" s="4">
        <f>329/20</f>
        <v>16.45</v>
      </c>
      <c r="E288" s="4">
        <f>352/20</f>
        <v>17.600000000000001</v>
      </c>
      <c r="F288" s="4">
        <f>72/5</f>
        <v>14.4</v>
      </c>
      <c r="G288" s="4">
        <f>61/5</f>
        <v>12.2</v>
      </c>
      <c r="H288" s="4" t="s">
        <v>41</v>
      </c>
      <c r="I288" s="4" t="s">
        <v>41</v>
      </c>
      <c r="J288" s="5" t="s">
        <v>88</v>
      </c>
      <c r="K288" s="4" t="s">
        <v>28</v>
      </c>
    </row>
    <row r="289" spans="1:11" x14ac:dyDescent="0.25">
      <c r="A289" s="9" t="s">
        <v>412</v>
      </c>
      <c r="B289" s="2" t="s">
        <v>197</v>
      </c>
      <c r="C289" s="2" t="s">
        <v>198</v>
      </c>
      <c r="D289" s="4">
        <f>2721/20</f>
        <v>136.05000000000001</v>
      </c>
      <c r="E289" s="4">
        <f>2642/20</f>
        <v>132.1</v>
      </c>
      <c r="F289" s="4">
        <f>362/5</f>
        <v>72.400000000000006</v>
      </c>
      <c r="G289" s="4">
        <f>290/5</f>
        <v>58</v>
      </c>
      <c r="H289" s="4" t="s">
        <v>41</v>
      </c>
      <c r="I289" s="4" t="s">
        <v>41</v>
      </c>
      <c r="J289" s="5" t="s">
        <v>88</v>
      </c>
      <c r="K289" s="4" t="s">
        <v>28</v>
      </c>
    </row>
    <row r="290" spans="1:11" x14ac:dyDescent="0.25">
      <c r="A290" s="9" t="s">
        <v>413</v>
      </c>
      <c r="B290" s="2" t="s">
        <v>414</v>
      </c>
      <c r="C290" s="2" t="s">
        <v>34</v>
      </c>
      <c r="D290" s="4">
        <f>9910/20</f>
        <v>495.5</v>
      </c>
      <c r="E290" s="4">
        <f>10155/20</f>
        <v>507.75</v>
      </c>
      <c r="F290" s="4">
        <f>1805/5</f>
        <v>361</v>
      </c>
      <c r="G290" s="4">
        <f>1965/5</f>
        <v>393</v>
      </c>
      <c r="H290" s="4">
        <f>1166/5</f>
        <v>233.2</v>
      </c>
      <c r="I290" s="4">
        <f>1319/5</f>
        <v>263.8</v>
      </c>
      <c r="J290" s="5" t="s">
        <v>20</v>
      </c>
      <c r="K290" s="6" t="s">
        <v>16</v>
      </c>
    </row>
    <row r="291" spans="1:11" x14ac:dyDescent="0.25">
      <c r="A291" s="9" t="s">
        <v>415</v>
      </c>
      <c r="B291" s="2" t="s">
        <v>416</v>
      </c>
      <c r="C291" s="2" t="s">
        <v>19</v>
      </c>
      <c r="D291" s="4">
        <f>6738/20</f>
        <v>336.9</v>
      </c>
      <c r="E291" s="4">
        <f>6761/20</f>
        <v>338.05</v>
      </c>
      <c r="F291" s="4">
        <f>1117/5</f>
        <v>223.4</v>
      </c>
      <c r="G291" s="4">
        <f>1082/5</f>
        <v>216.4</v>
      </c>
      <c r="H291" s="4">
        <f>751/5</f>
        <v>150.19999999999999</v>
      </c>
      <c r="I291" s="4">
        <f>826/5</f>
        <v>165.2</v>
      </c>
      <c r="J291" s="5" t="s">
        <v>65</v>
      </c>
      <c r="K291" s="6" t="s">
        <v>16</v>
      </c>
    </row>
    <row r="292" spans="1:11" x14ac:dyDescent="0.25">
      <c r="A292" s="9" t="s">
        <v>417</v>
      </c>
      <c r="B292" s="2" t="s">
        <v>418</v>
      </c>
      <c r="C292" s="2" t="s">
        <v>14</v>
      </c>
      <c r="D292" s="4">
        <f>3365/20</f>
        <v>168.25</v>
      </c>
      <c r="E292" s="4">
        <f>4166/20</f>
        <v>208.3</v>
      </c>
      <c r="F292" s="4">
        <f>653/5</f>
        <v>130.6</v>
      </c>
      <c r="G292" s="4">
        <f>1047/5</f>
        <v>209.4</v>
      </c>
      <c r="H292" s="4">
        <f>369/5</f>
        <v>73.8</v>
      </c>
      <c r="I292" s="4">
        <f>487/5</f>
        <v>97.4</v>
      </c>
      <c r="J292" s="5" t="s">
        <v>31</v>
      </c>
      <c r="K292" s="6" t="s">
        <v>16</v>
      </c>
    </row>
    <row r="293" spans="1:11" x14ac:dyDescent="0.25">
      <c r="A293" s="9" t="s">
        <v>419</v>
      </c>
      <c r="B293" s="2" t="s">
        <v>420</v>
      </c>
      <c r="C293" s="2" t="s">
        <v>106</v>
      </c>
      <c r="D293" s="4">
        <f>1856/20</f>
        <v>92.8</v>
      </c>
      <c r="E293" s="4">
        <f>2085/20</f>
        <v>104.25</v>
      </c>
      <c r="F293" s="4">
        <f>296/5</f>
        <v>59.2</v>
      </c>
      <c r="G293" s="4">
        <f>339/5</f>
        <v>67.8</v>
      </c>
      <c r="H293" s="4">
        <f>196/5</f>
        <v>39.200000000000003</v>
      </c>
      <c r="I293" s="4">
        <f>187/5</f>
        <v>37.4</v>
      </c>
      <c r="J293" s="5" t="s">
        <v>52</v>
      </c>
      <c r="K293" s="6" t="s">
        <v>16</v>
      </c>
    </row>
    <row r="294" spans="1:11" x14ac:dyDescent="0.25">
      <c r="A294" s="9" t="s">
        <v>421</v>
      </c>
      <c r="B294" s="2" t="s">
        <v>422</v>
      </c>
      <c r="C294" s="2" t="s">
        <v>106</v>
      </c>
      <c r="D294" s="4">
        <f>1560/20</f>
        <v>78</v>
      </c>
      <c r="E294" s="4">
        <f>2087/20</f>
        <v>104.35</v>
      </c>
      <c r="F294" s="4">
        <f>209/5</f>
        <v>41.8</v>
      </c>
      <c r="G294" s="4">
        <f>370/5</f>
        <v>74</v>
      </c>
      <c r="H294" s="4" t="s">
        <v>41</v>
      </c>
      <c r="I294" s="4" t="s">
        <v>41</v>
      </c>
      <c r="J294" s="5" t="s">
        <v>91</v>
      </c>
      <c r="K294" s="4" t="s">
        <v>28</v>
      </c>
    </row>
    <row r="295" spans="1:11" x14ac:dyDescent="0.25">
      <c r="A295" s="9" t="s">
        <v>423</v>
      </c>
      <c r="B295" s="2" t="s">
        <v>87</v>
      </c>
      <c r="C295" s="2" t="s">
        <v>23</v>
      </c>
      <c r="D295" s="4">
        <f>245/20</f>
        <v>12.25</v>
      </c>
      <c r="E295" s="4">
        <f>319/20</f>
        <v>15.95</v>
      </c>
      <c r="F295" s="4">
        <f>38/5</f>
        <v>7.6</v>
      </c>
      <c r="G295" s="4">
        <f>43/5</f>
        <v>8.6</v>
      </c>
      <c r="H295" s="4" t="s">
        <v>41</v>
      </c>
      <c r="I295" s="4" t="s">
        <v>41</v>
      </c>
      <c r="J295" s="5" t="s">
        <v>88</v>
      </c>
      <c r="K295" s="4" t="s">
        <v>28</v>
      </c>
    </row>
    <row r="296" spans="1:11" x14ac:dyDescent="0.25">
      <c r="A296" s="9" t="s">
        <v>424</v>
      </c>
      <c r="B296" s="2" t="s">
        <v>99</v>
      </c>
      <c r="C296" s="2" t="s">
        <v>14</v>
      </c>
      <c r="D296" s="4">
        <f>205/20</f>
        <v>10.25</v>
      </c>
      <c r="E296" s="4">
        <f>61/20</f>
        <v>3.05</v>
      </c>
      <c r="F296" s="4">
        <f>54/5</f>
        <v>10.8</v>
      </c>
      <c r="G296" s="4">
        <f>18/5</f>
        <v>3.6</v>
      </c>
      <c r="H296" s="4" t="s">
        <v>41</v>
      </c>
      <c r="I296" s="4" t="s">
        <v>41</v>
      </c>
      <c r="J296" s="5" t="s">
        <v>100</v>
      </c>
      <c r="K296" s="6" t="s">
        <v>16</v>
      </c>
    </row>
    <row r="297" spans="1:11" ht="60" x14ac:dyDescent="0.25">
      <c r="A297" s="9" t="s">
        <v>425</v>
      </c>
      <c r="B297" s="4" t="s">
        <v>426</v>
      </c>
      <c r="C297" s="2" t="s">
        <v>198</v>
      </c>
      <c r="D297" s="4">
        <f>17055/20</f>
        <v>852.75</v>
      </c>
      <c r="E297" s="4">
        <f>17669/20</f>
        <v>883.45</v>
      </c>
      <c r="F297" s="4">
        <f>3365/5</f>
        <v>673</v>
      </c>
      <c r="G297" s="4">
        <f>3452/5</f>
        <v>690.4</v>
      </c>
      <c r="H297" s="4">
        <f>703/5</f>
        <v>140.6</v>
      </c>
      <c r="I297" s="4">
        <f>850/5</f>
        <v>170</v>
      </c>
      <c r="J297" s="6" t="s">
        <v>427</v>
      </c>
      <c r="K297" s="6" t="s">
        <v>16</v>
      </c>
    </row>
    <row r="298" spans="1:11" x14ac:dyDescent="0.25">
      <c r="A298" s="9" t="s">
        <v>425</v>
      </c>
      <c r="B298" s="4" t="s">
        <v>426</v>
      </c>
      <c r="C298" s="2" t="s">
        <v>198</v>
      </c>
      <c r="D298" s="4">
        <f>3186/20</f>
        <v>159.30000000000001</v>
      </c>
      <c r="E298" s="4">
        <f>1724/20</f>
        <v>86.2</v>
      </c>
      <c r="F298" s="4">
        <f>600/5</f>
        <v>120</v>
      </c>
      <c r="G298" s="4">
        <f>412/5</f>
        <v>82.4</v>
      </c>
      <c r="H298" s="4" t="s">
        <v>195</v>
      </c>
      <c r="I298" s="4" t="s">
        <v>195</v>
      </c>
      <c r="J298" s="5" t="s">
        <v>203</v>
      </c>
      <c r="K298" s="6" t="s">
        <v>16</v>
      </c>
    </row>
    <row r="299" spans="1:11" x14ac:dyDescent="0.25">
      <c r="A299" s="9" t="s">
        <v>425</v>
      </c>
      <c r="B299" s="4" t="s">
        <v>426</v>
      </c>
      <c r="C299" s="2" t="s">
        <v>198</v>
      </c>
      <c r="D299" s="4">
        <f>10802/20</f>
        <v>540.1</v>
      </c>
      <c r="E299" s="4">
        <f>12515/20</f>
        <v>625.75</v>
      </c>
      <c r="F299" s="4">
        <f>2302/5</f>
        <v>460.4</v>
      </c>
      <c r="G299" s="4">
        <f>2458/5</f>
        <v>491.6</v>
      </c>
      <c r="H299" s="4">
        <f>703/5</f>
        <v>140.6</v>
      </c>
      <c r="I299" s="4">
        <f>850/5</f>
        <v>170</v>
      </c>
      <c r="J299" s="2" t="s">
        <v>121</v>
      </c>
      <c r="K299" s="6" t="s">
        <v>16</v>
      </c>
    </row>
    <row r="300" spans="1:11" x14ac:dyDescent="0.25">
      <c r="A300" s="9" t="s">
        <v>425</v>
      </c>
      <c r="B300" s="4" t="s">
        <v>426</v>
      </c>
      <c r="C300" s="2" t="s">
        <v>198</v>
      </c>
      <c r="D300" s="4">
        <f>3067/20</f>
        <v>153.35</v>
      </c>
      <c r="E300" s="4">
        <f>3430/20</f>
        <v>171.5</v>
      </c>
      <c r="F300" s="4">
        <f>463/5</f>
        <v>92.6</v>
      </c>
      <c r="G300" s="4">
        <f>582/5</f>
        <v>116.4</v>
      </c>
      <c r="H300" s="4" t="s">
        <v>195</v>
      </c>
      <c r="I300" s="4" t="s">
        <v>195</v>
      </c>
      <c r="J300" s="5" t="s">
        <v>91</v>
      </c>
      <c r="K300" s="6" t="s">
        <v>16</v>
      </c>
    </row>
    <row r="301" spans="1:11" x14ac:dyDescent="0.25">
      <c r="A301" s="9" t="s">
        <v>428</v>
      </c>
      <c r="B301" s="2" t="s">
        <v>241</v>
      </c>
      <c r="C301" s="2" t="s">
        <v>34</v>
      </c>
      <c r="D301" s="4">
        <f>306/20</f>
        <v>15.3</v>
      </c>
      <c r="E301" s="4">
        <f>304/20</f>
        <v>15.2</v>
      </c>
      <c r="F301" s="4">
        <f>38/5</f>
        <v>7.6</v>
      </c>
      <c r="G301" s="4">
        <f>41/5</f>
        <v>8.1999999999999993</v>
      </c>
      <c r="H301" s="4" t="s">
        <v>41</v>
      </c>
      <c r="I301" s="4" t="s">
        <v>41</v>
      </c>
      <c r="J301" s="5" t="s">
        <v>91</v>
      </c>
      <c r="K301" s="4" t="s">
        <v>28</v>
      </c>
    </row>
    <row r="302" spans="1:11" x14ac:dyDescent="0.25">
      <c r="A302" s="9" t="s">
        <v>429</v>
      </c>
      <c r="B302" s="2" t="s">
        <v>430</v>
      </c>
      <c r="C302" s="2" t="s">
        <v>23</v>
      </c>
      <c r="D302" s="1">
        <f>132/20</f>
        <v>6.6</v>
      </c>
      <c r="E302" s="4">
        <f>138/20</f>
        <v>6.9</v>
      </c>
      <c r="F302" s="4">
        <f>23/5</f>
        <v>4.5999999999999996</v>
      </c>
      <c r="G302" s="4">
        <f>22/5</f>
        <v>4.4000000000000004</v>
      </c>
      <c r="H302" s="4" t="s">
        <v>41</v>
      </c>
      <c r="I302" s="4" t="s">
        <v>41</v>
      </c>
      <c r="J302" s="5" t="s">
        <v>175</v>
      </c>
      <c r="K302" s="4" t="s">
        <v>28</v>
      </c>
    </row>
    <row r="303" spans="1:11" x14ac:dyDescent="0.25">
      <c r="A303" s="9" t="s">
        <v>431</v>
      </c>
      <c r="B303" s="2" t="s">
        <v>151</v>
      </c>
      <c r="C303" s="2" t="s">
        <v>106</v>
      </c>
      <c r="D303" s="4">
        <f>660/20</f>
        <v>33</v>
      </c>
      <c r="E303" s="4">
        <f>1061/20</f>
        <v>53.05</v>
      </c>
      <c r="F303" s="4">
        <f>143/5</f>
        <v>28.6</v>
      </c>
      <c r="G303" s="4">
        <f>194/5</f>
        <v>38.799999999999997</v>
      </c>
      <c r="H303" s="4">
        <f>54/5</f>
        <v>10.8</v>
      </c>
      <c r="I303" s="4">
        <f>44/5</f>
        <v>8.8000000000000007</v>
      </c>
      <c r="J303" s="2" t="s">
        <v>209</v>
      </c>
      <c r="K303" s="6" t="s">
        <v>16</v>
      </c>
    </row>
    <row r="304" spans="1:11" x14ac:dyDescent="0.25">
      <c r="A304" s="9" t="s">
        <v>432</v>
      </c>
      <c r="B304" s="2" t="s">
        <v>261</v>
      </c>
      <c r="C304" s="2" t="s">
        <v>23</v>
      </c>
      <c r="D304" s="1">
        <f>149/20</f>
        <v>7.45</v>
      </c>
      <c r="E304" s="4">
        <f>154/20</f>
        <v>7.7</v>
      </c>
      <c r="F304" s="4">
        <f>29/5</f>
        <v>5.8</v>
      </c>
      <c r="G304" s="4">
        <f>15/5</f>
        <v>3</v>
      </c>
      <c r="H304" s="4" t="s">
        <v>41</v>
      </c>
      <c r="I304" s="4" t="s">
        <v>41</v>
      </c>
      <c r="J304" s="5" t="s">
        <v>175</v>
      </c>
      <c r="K304" s="4" t="s">
        <v>28</v>
      </c>
    </row>
    <row r="305" spans="1:11" x14ac:dyDescent="0.25">
      <c r="A305" s="9" t="s">
        <v>433</v>
      </c>
      <c r="B305" s="2" t="s">
        <v>140</v>
      </c>
      <c r="C305" s="2" t="s">
        <v>19</v>
      </c>
      <c r="D305" s="4">
        <f>2279/20</f>
        <v>113.95</v>
      </c>
      <c r="E305" s="4">
        <f>2499/20</f>
        <v>124.95</v>
      </c>
      <c r="F305" s="4">
        <f>319/5</f>
        <v>63.8</v>
      </c>
      <c r="G305" s="4">
        <f>298/5</f>
        <v>59.6</v>
      </c>
      <c r="H305" s="4">
        <f>147/5</f>
        <v>29.4</v>
      </c>
      <c r="I305" s="4">
        <f>149/5</f>
        <v>29.8</v>
      </c>
      <c r="J305" s="7" t="s">
        <v>83</v>
      </c>
      <c r="K305" s="6" t="s">
        <v>16</v>
      </c>
    </row>
    <row r="306" spans="1:11" ht="30" x14ac:dyDescent="0.25">
      <c r="A306" s="9" t="s">
        <v>434</v>
      </c>
      <c r="B306" s="2" t="s">
        <v>128</v>
      </c>
      <c r="C306" s="2" t="s">
        <v>34</v>
      </c>
      <c r="D306" s="4">
        <f>1225/20</f>
        <v>61.25</v>
      </c>
      <c r="E306" s="4">
        <f>1473/20</f>
        <v>73.650000000000006</v>
      </c>
      <c r="F306" s="4">
        <f>181/5</f>
        <v>36.200000000000003</v>
      </c>
      <c r="G306" s="4">
        <f>215/5</f>
        <v>43</v>
      </c>
      <c r="H306" s="4">
        <f>14/5</f>
        <v>2.8</v>
      </c>
      <c r="I306" s="4">
        <f>60/5</f>
        <v>12</v>
      </c>
      <c r="J306" s="5" t="s">
        <v>129</v>
      </c>
      <c r="K306" s="4" t="s">
        <v>28</v>
      </c>
    </row>
    <row r="307" spans="1:11" x14ac:dyDescent="0.25">
      <c r="A307" s="9" t="s">
        <v>435</v>
      </c>
      <c r="B307" s="2" t="s">
        <v>118</v>
      </c>
      <c r="C307" s="2" t="s">
        <v>19</v>
      </c>
      <c r="D307" s="4">
        <f>25298/20</f>
        <v>1264.9000000000001</v>
      </c>
      <c r="E307" s="4">
        <f>22333/20</f>
        <v>1116.6500000000001</v>
      </c>
      <c r="F307" s="4">
        <f>3956/5</f>
        <v>791.2</v>
      </c>
      <c r="G307" s="4">
        <f>3814/5</f>
        <v>762.8</v>
      </c>
      <c r="H307" s="4">
        <f>2251/5</f>
        <v>450.2</v>
      </c>
      <c r="I307" s="4">
        <f>2243/5</f>
        <v>448.6</v>
      </c>
      <c r="J307" s="5" t="s">
        <v>65</v>
      </c>
      <c r="K307" s="6" t="s">
        <v>16</v>
      </c>
    </row>
    <row r="308" spans="1:11" x14ac:dyDescent="0.25">
      <c r="A308" s="9" t="s">
        <v>436</v>
      </c>
      <c r="B308" s="2" t="s">
        <v>287</v>
      </c>
      <c r="C308" s="2" t="s">
        <v>34</v>
      </c>
      <c r="D308" s="4">
        <f>877/20</f>
        <v>43.85</v>
      </c>
      <c r="E308" s="4">
        <f>946/20</f>
        <v>47.3</v>
      </c>
      <c r="F308" s="4">
        <f>189/5</f>
        <v>37.799999999999997</v>
      </c>
      <c r="G308" s="4">
        <f>150/5</f>
        <v>30</v>
      </c>
      <c r="H308" s="4">
        <f>6/5</f>
        <v>1.2</v>
      </c>
      <c r="I308" s="4">
        <f>8/5</f>
        <v>1.6</v>
      </c>
      <c r="J308" s="5" t="s">
        <v>35</v>
      </c>
      <c r="K308" s="4" t="s">
        <v>28</v>
      </c>
    </row>
    <row r="309" spans="1:11" x14ac:dyDescent="0.25">
      <c r="A309" s="9" t="s">
        <v>437</v>
      </c>
      <c r="B309" s="2" t="s">
        <v>44</v>
      </c>
      <c r="C309" s="2" t="s">
        <v>19</v>
      </c>
      <c r="D309" s="4">
        <f>2744/20</f>
        <v>137.19999999999999</v>
      </c>
      <c r="E309" s="4">
        <f>2912/20</f>
        <v>145.6</v>
      </c>
      <c r="F309" s="4">
        <f>455/5</f>
        <v>91</v>
      </c>
      <c r="G309" s="4">
        <f>380/5</f>
        <v>76</v>
      </c>
      <c r="H309" s="4">
        <f>40/5</f>
        <v>8</v>
      </c>
      <c r="I309" s="4">
        <f>45/5</f>
        <v>9</v>
      </c>
      <c r="J309" s="5" t="s">
        <v>45</v>
      </c>
      <c r="K309" s="4" t="s">
        <v>28</v>
      </c>
    </row>
    <row r="310" spans="1:11" x14ac:dyDescent="0.25">
      <c r="A310" s="9" t="s">
        <v>438</v>
      </c>
      <c r="B310" s="2" t="s">
        <v>167</v>
      </c>
      <c r="C310" s="2" t="s">
        <v>106</v>
      </c>
      <c r="D310" s="4">
        <f>717/20</f>
        <v>35.85</v>
      </c>
      <c r="E310" s="4">
        <f>1042/20</f>
        <v>52.1</v>
      </c>
      <c r="F310" s="4">
        <f>162/5</f>
        <v>32.4</v>
      </c>
      <c r="G310" s="4">
        <f>190/5</f>
        <v>38</v>
      </c>
      <c r="H310" s="4">
        <f>115/5</f>
        <v>23</v>
      </c>
      <c r="I310" s="4">
        <f>181/5</f>
        <v>36.200000000000003</v>
      </c>
      <c r="J310" s="5" t="s">
        <v>52</v>
      </c>
      <c r="K310" s="6" t="s">
        <v>16</v>
      </c>
    </row>
    <row r="311" spans="1:11" x14ac:dyDescent="0.25">
      <c r="A311" s="9" t="s">
        <v>439</v>
      </c>
      <c r="B311" s="2" t="s">
        <v>440</v>
      </c>
      <c r="C311" s="2" t="s">
        <v>23</v>
      </c>
      <c r="D311" s="4">
        <f>759/20</f>
        <v>37.950000000000003</v>
      </c>
      <c r="E311" s="4">
        <f>860/20</f>
        <v>43</v>
      </c>
      <c r="F311" s="4">
        <f>140/5</f>
        <v>28</v>
      </c>
      <c r="G311" s="4">
        <f>101/5</f>
        <v>20.2</v>
      </c>
      <c r="H311" s="4" t="s">
        <v>41</v>
      </c>
      <c r="I311" s="4" t="s">
        <v>41</v>
      </c>
      <c r="J311" s="5" t="s">
        <v>88</v>
      </c>
      <c r="K311" s="4" t="s">
        <v>28</v>
      </c>
    </row>
    <row r="312" spans="1:11" x14ac:dyDescent="0.25">
      <c r="A312" s="9" t="s">
        <v>441</v>
      </c>
      <c r="B312" s="2" t="s">
        <v>442</v>
      </c>
      <c r="C312" s="2" t="s">
        <v>26</v>
      </c>
      <c r="D312" s="4">
        <f>9692/20</f>
        <v>484.6</v>
      </c>
      <c r="E312" s="4">
        <f>10830/20</f>
        <v>541.5</v>
      </c>
      <c r="F312" s="4">
        <f>2494/5</f>
        <v>498.8</v>
      </c>
      <c r="G312" s="4">
        <f>2558/5</f>
        <v>511.6</v>
      </c>
      <c r="H312" s="4">
        <f>481/5</f>
        <v>96.2</v>
      </c>
      <c r="I312" s="4">
        <f>624/5</f>
        <v>124.8</v>
      </c>
      <c r="J312" s="5" t="s">
        <v>45</v>
      </c>
      <c r="K312" s="4" t="s">
        <v>28</v>
      </c>
    </row>
    <row r="313" spans="1:11" ht="30" x14ac:dyDescent="0.25">
      <c r="A313" s="9" t="s">
        <v>443</v>
      </c>
      <c r="B313" s="2" t="s">
        <v>128</v>
      </c>
      <c r="C313" s="2" t="s">
        <v>34</v>
      </c>
      <c r="D313" s="4">
        <f>1198/20</f>
        <v>59.9</v>
      </c>
      <c r="E313" s="4">
        <f>1418/20</f>
        <v>70.900000000000006</v>
      </c>
      <c r="F313" s="4">
        <f>207/5</f>
        <v>41.4</v>
      </c>
      <c r="G313" s="4">
        <f>152/5</f>
        <v>30.4</v>
      </c>
      <c r="H313" s="4">
        <f>7/5</f>
        <v>1.4</v>
      </c>
      <c r="I313" s="4">
        <f>36/5</f>
        <v>7.2</v>
      </c>
      <c r="J313" s="5" t="s">
        <v>129</v>
      </c>
      <c r="K313" s="4" t="s">
        <v>28</v>
      </c>
    </row>
    <row r="314" spans="1:11" x14ac:dyDescent="0.25">
      <c r="A314" s="9" t="s">
        <v>444</v>
      </c>
      <c r="B314" s="2" t="s">
        <v>445</v>
      </c>
      <c r="C314" s="2" t="s">
        <v>112</v>
      </c>
      <c r="D314" s="4">
        <f>1700/20</f>
        <v>85</v>
      </c>
      <c r="E314" s="4">
        <f>1185/20</f>
        <v>59.25</v>
      </c>
      <c r="F314" s="4">
        <f>379/5</f>
        <v>75.8</v>
      </c>
      <c r="G314" s="4">
        <f>213/5</f>
        <v>42.6</v>
      </c>
      <c r="H314" s="4">
        <f>14/5</f>
        <v>2.8</v>
      </c>
      <c r="I314" s="4">
        <f>5/5</f>
        <v>1</v>
      </c>
      <c r="J314" s="2" t="s">
        <v>107</v>
      </c>
      <c r="K314" s="6" t="s">
        <v>16</v>
      </c>
    </row>
    <row r="315" spans="1:11" x14ac:dyDescent="0.25">
      <c r="A315" s="9" t="s">
        <v>446</v>
      </c>
      <c r="B315" s="2" t="s">
        <v>447</v>
      </c>
      <c r="C315" s="2" t="s">
        <v>448</v>
      </c>
      <c r="D315" s="4">
        <f>2341/20</f>
        <v>117.05</v>
      </c>
      <c r="E315" s="4">
        <f>2545/20</f>
        <v>127.25</v>
      </c>
      <c r="F315" s="4">
        <f>418/5</f>
        <v>83.6</v>
      </c>
      <c r="G315" s="4">
        <f>442/5</f>
        <v>88.4</v>
      </c>
      <c r="H315" s="4">
        <f>134/5</f>
        <v>26.8</v>
      </c>
      <c r="I315" s="4">
        <f>164/5</f>
        <v>32.799999999999997</v>
      </c>
      <c r="J315" s="2" t="s">
        <v>121</v>
      </c>
      <c r="K315" s="6" t="s">
        <v>16</v>
      </c>
    </row>
    <row r="316" spans="1:11" x14ac:dyDescent="0.25">
      <c r="A316" s="9" t="s">
        <v>449</v>
      </c>
      <c r="B316" s="2" t="s">
        <v>253</v>
      </c>
      <c r="C316" s="2" t="s">
        <v>14</v>
      </c>
      <c r="D316" s="4">
        <f>1584/20</f>
        <v>79.2</v>
      </c>
      <c r="E316" s="4">
        <f>1578/20</f>
        <v>78.900000000000006</v>
      </c>
      <c r="F316" s="4">
        <f>396/5</f>
        <v>79.2</v>
      </c>
      <c r="G316" s="4">
        <f>284/5</f>
        <v>56.8</v>
      </c>
      <c r="H316" s="4">
        <f>164/5</f>
        <v>32.799999999999997</v>
      </c>
      <c r="I316" s="4">
        <f>135/5</f>
        <v>27</v>
      </c>
      <c r="J316" s="5" t="s">
        <v>15</v>
      </c>
      <c r="K316" s="6" t="s">
        <v>16</v>
      </c>
    </row>
    <row r="317" spans="1:11" x14ac:dyDescent="0.25">
      <c r="A317" s="9" t="s">
        <v>450</v>
      </c>
      <c r="B317" s="2" t="s">
        <v>308</v>
      </c>
      <c r="C317" s="2" t="s">
        <v>19</v>
      </c>
      <c r="D317" s="4">
        <f>4182/20</f>
        <v>209.1</v>
      </c>
      <c r="E317" s="4">
        <f>4396/20</f>
        <v>219.8</v>
      </c>
      <c r="F317" s="4">
        <f>879/5</f>
        <v>175.8</v>
      </c>
      <c r="G317" s="4">
        <f>836/5</f>
        <v>167.2</v>
      </c>
      <c r="H317" s="4">
        <f>192/5</f>
        <v>38.4</v>
      </c>
      <c r="I317" s="4">
        <f>185/5</f>
        <v>37</v>
      </c>
      <c r="J317" s="5" t="s">
        <v>45</v>
      </c>
      <c r="K317" s="4" t="s">
        <v>28</v>
      </c>
    </row>
    <row r="318" spans="1:11" x14ac:dyDescent="0.25">
      <c r="A318" s="9" t="s">
        <v>451</v>
      </c>
      <c r="B318" s="2" t="s">
        <v>308</v>
      </c>
      <c r="C318" s="2" t="s">
        <v>19</v>
      </c>
      <c r="D318" s="4">
        <f>2387/20</f>
        <v>119.35</v>
      </c>
      <c r="E318" s="4">
        <f>2353/20</f>
        <v>117.65</v>
      </c>
      <c r="F318" s="4">
        <f>539/5</f>
        <v>107.8</v>
      </c>
      <c r="G318" s="4">
        <f>458/5</f>
        <v>91.6</v>
      </c>
      <c r="H318" s="4">
        <f>106/5</f>
        <v>21.2</v>
      </c>
      <c r="I318" s="4">
        <f>105/5</f>
        <v>21</v>
      </c>
      <c r="J318" s="5" t="s">
        <v>45</v>
      </c>
      <c r="K318" s="4" t="s">
        <v>28</v>
      </c>
    </row>
  </sheetData>
  <mergeCells count="1">
    <mergeCell ref="C1:H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stazioni RFI-FER</vt:lpstr>
    </vt:vector>
  </TitlesOfParts>
  <Company>Regione Emilia-Romagna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Brugnolo Laura</dc:creator>
  <cp:lastModifiedBy>Brugnolo Laura</cp:lastModifiedBy>
  <dcterms:created xsi:type="dcterms:W3CDTF">2025-08-05T10:22:53Z</dcterms:created>
  <dcterms:modified xsi:type="dcterms:W3CDTF">2025-08-05T10:25:15Z</dcterms:modified>
</cp:coreProperties>
</file>